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5" yWindow="60" windowWidth="9570" windowHeight="8565" tabRatio="601" firstSheet="4" activeTab="6"/>
  </bookViews>
  <sheets>
    <sheet name="WK Consol adj" sheetId="1" state="hidden" r:id="rId1"/>
    <sheet name="PL" sheetId="2" state="hidden" r:id="rId2"/>
    <sheet name="PL AUDIT STYLE" sheetId="3" state="hidden" r:id="rId3"/>
    <sheet name="Balance Sheet" sheetId="4" state="hidden" r:id="rId4"/>
    <sheet name="Income Statement" sheetId="5" r:id="rId5"/>
    <sheet name="Balance Sheets" sheetId="6" r:id="rId6"/>
    <sheet name="Equity" sheetId="7" r:id="rId7"/>
    <sheet name="Cash Flows" sheetId="8" r:id="rId8"/>
    <sheet name="WK Cashflow worksheet(V)" sheetId="9" state="hidden" r:id="rId9"/>
    <sheet name="Notes MASB &amp; MSEB Requirement " sheetId="10" state="hidden" r:id="rId10"/>
    <sheet name="Cash FlowCondensed(H)" sheetId="11" state="hidden" r:id="rId11"/>
    <sheet name="WK Cashflow worksheet(H)" sheetId="12" state="hidden" r:id="rId12"/>
    <sheet name="PPE" sheetId="13" state="hidden" r:id="rId13"/>
    <sheet name="Note" sheetId="14" state="hidden" r:id="rId14"/>
  </sheets>
  <externalReferences>
    <externalReference r:id="rId17"/>
    <externalReference r:id="rId18"/>
    <externalReference r:id="rId19"/>
    <externalReference r:id="rId20"/>
  </externalReferences>
  <definedNames>
    <definedName name="_xlnm.Print_Area" localSheetId="3">'Balance Sheet'!$A$1:$J$54</definedName>
    <definedName name="_xlnm.Print_Area" localSheetId="10">'Cash FlowCondensed(H)'!$A$1:$E$50</definedName>
    <definedName name="_xlnm.Print_Area" localSheetId="4">'Income Statement'!$A$1:$I$49</definedName>
    <definedName name="_xlnm.Print_Area" localSheetId="1">'PL'!$A$1:$L$55</definedName>
    <definedName name="_xlnm.Print_Area" localSheetId="2">'PL AUDIT STYLE'!$A$1:$E$50</definedName>
    <definedName name="_xlnm.Print_Area" localSheetId="12">'PPE'!$A$1:$J$239</definedName>
    <definedName name="_xlnm.Print_Area" localSheetId="11">'WK Cashflow worksheet(H)'!$A$1:$N$102</definedName>
    <definedName name="_xlnm.Print_Area" localSheetId="8">'WK Cashflow worksheet(V)'!$A$1:$Y$71</definedName>
    <definedName name="_xlnm.Print_Area" localSheetId="0">'WK Consol adj'!$A$1:$H$72</definedName>
  </definedNames>
  <calcPr fullCalcOnLoad="1"/>
</workbook>
</file>

<file path=xl/sharedStrings.xml><?xml version="1.0" encoding="utf-8"?>
<sst xmlns="http://schemas.openxmlformats.org/spreadsheetml/2006/main" count="1147" uniqueCount="640">
  <si>
    <t>CBS Technology Berhad</t>
  </si>
  <si>
    <t>Consolidation Adjustments</t>
  </si>
  <si>
    <t>DR</t>
  </si>
  <si>
    <t>CR</t>
  </si>
  <si>
    <t>RM</t>
  </si>
  <si>
    <t>Goodwill on consolidation</t>
  </si>
  <si>
    <t>Investment in Cyber</t>
  </si>
  <si>
    <t>Share Capital - Cyber</t>
  </si>
  <si>
    <t>Being elimination of Cost of investment in Cyber</t>
  </si>
  <si>
    <t>Cost of investment</t>
  </si>
  <si>
    <t>Share of net asset</t>
  </si>
  <si>
    <t xml:space="preserve">Share Capital </t>
  </si>
  <si>
    <t>Acc losses b/d @ 31.12.2003</t>
  </si>
  <si>
    <t>Preacq profit from 1 Jan to 19th Jan</t>
  </si>
  <si>
    <t>Goodwill on acquisition</t>
  </si>
  <si>
    <t>Share Capital - Netgen</t>
  </si>
  <si>
    <t>Accumulated loss c/f @ 19 Jan 04</t>
  </si>
  <si>
    <t>Unapproriated profit c/f @ 19 Jan 04</t>
  </si>
  <si>
    <t>Investment in Netgen</t>
  </si>
  <si>
    <t>Being elimination of Cost of investment in Netgen</t>
  </si>
  <si>
    <t>Preacq losses from 1 Jan to 19th Jan</t>
  </si>
  <si>
    <t>Goodwill on acq is determined as follows :</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</si>
  <si>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</si>
  <si>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</si>
  <si>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</si>
  <si>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</si>
  <si>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</si>
  <si>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</si>
  <si>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</si>
  <si>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</si>
  <si>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</si>
  <si>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</si>
  <si>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</si>
  <si>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</si>
  <si>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</si>
  <si>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</si>
  <si>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</si>
  <si>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</si>
  <si>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CBS Tech</t>
  </si>
  <si>
    <t xml:space="preserve">Cyber </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</si>
  <si>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</si>
  <si>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</si>
  <si>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</si>
  <si>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</si>
  <si>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</si>
  <si>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</si>
  <si>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</si>
  <si>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</si>
  <si>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</si>
  <si>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</si>
  <si>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</si>
  <si>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</si>
  <si>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</si>
  <si>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</si>
  <si>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</si>
  <si>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</si>
  <si>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</si>
  <si>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</si>
  <si>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</si>
  <si>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</si>
  <si>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</si>
  <si>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</si>
  <si>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</si>
  <si>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</si>
  <si>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INCOME STATEMENT</t>
  </si>
  <si>
    <t>Share</t>
  </si>
  <si>
    <t>Total</t>
  </si>
  <si>
    <t>RETAINED EARNINGS/(ACC LOSSES) B/D</t>
  </si>
  <si>
    <t>RETAINED EARNINGS/(ACC LOSSES) C/F</t>
  </si>
  <si>
    <t>Retained earnings b/d @ 31.12.2003</t>
  </si>
  <si>
    <t>Depreciation</t>
  </si>
  <si>
    <t>CBS TECHNOLOGY BERHAD</t>
  </si>
  <si>
    <t>Elimination of Listing expense paid on behalf by Cyber</t>
  </si>
  <si>
    <t>Elimination of amount owing to Cyber</t>
  </si>
  <si>
    <t>Elimination of amount owing to Netgen</t>
  </si>
  <si>
    <t>Cyber</t>
  </si>
  <si>
    <t>Elimination of Trade Balance owing to Netgen</t>
  </si>
  <si>
    <t>AMORTISATION OF GOODWILL</t>
  </si>
  <si>
    <t>Amortisation of Goodwill</t>
  </si>
  <si>
    <t>Goodwill on Consolidation</t>
  </si>
  <si>
    <t>Being Amortisation of Goodwill over 15 years</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</si>
  <si>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</si>
  <si>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</si>
  <si>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</si>
  <si>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</si>
  <si>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</si>
  <si>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</si>
  <si>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</si>
  <si>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</si>
  <si>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</si>
  <si>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</si>
  <si>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</si>
  <si>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</si>
  <si>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</si>
  <si>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</si>
  <si>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</si>
  <si>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</si>
  <si>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</si>
  <si>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</si>
  <si>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</si>
  <si>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</si>
  <si>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</si>
  <si>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</si>
  <si>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</si>
  <si>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</si>
  <si>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</si>
  <si>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</si>
  <si>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</si>
  <si>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</si>
  <si>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</si>
  <si>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</si>
  <si>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</si>
  <si>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</si>
  <si>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</si>
  <si>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</si>
  <si>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</si>
  <si>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</si>
  <si>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</si>
  <si>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</si>
  <si>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</si>
  <si>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</si>
  <si>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</si>
  <si>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</si>
  <si>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</si>
  <si>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</si>
  <si>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</si>
  <si>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</si>
  <si>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</si>
  <si>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</si>
  <si>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</si>
  <si>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</si>
  <si>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</si>
  <si>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</si>
  <si>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</si>
  <si>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</si>
  <si>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</si>
  <si>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</si>
  <si>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</si>
  <si>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</si>
  <si>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</si>
  <si>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</si>
  <si>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</si>
  <si>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</si>
  <si>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</si>
  <si>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</si>
  <si>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</si>
  <si>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</si>
  <si>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</si>
  <si>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</si>
  <si>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</si>
  <si>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Other receivables, deposits and prepayments</t>
  </si>
  <si>
    <t>Revenue</t>
  </si>
  <si>
    <t>Cost of sales</t>
  </si>
  <si>
    <t>Gross profit</t>
  </si>
  <si>
    <t>Operating Expenses</t>
  </si>
  <si>
    <t>Profit before finance cost</t>
  </si>
  <si>
    <t>and depreciation</t>
  </si>
  <si>
    <t>Finance Cost</t>
  </si>
  <si>
    <t>Amortisation of goodwill</t>
  </si>
  <si>
    <t>Other Income</t>
  </si>
  <si>
    <t>Profit after taxation</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</si>
  <si>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</si>
  <si>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</si>
  <si>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</si>
  <si>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</si>
  <si>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</si>
  <si>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</si>
  <si>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</si>
  <si>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t>(The Condensed Consolidated Income Statement should be read in conjunction with the Company’s</t>
  </si>
  <si>
    <t xml:space="preserve">      INDIVIDUAL QUARTER</t>
  </si>
  <si>
    <t xml:space="preserve">     CUMULATIVE PERIOD</t>
  </si>
  <si>
    <r>
      <t>CBS TECHNOLOGY BERHAD</t>
    </r>
    <r>
      <rPr>
        <b/>
        <sz val="8"/>
        <rFont val="Arial"/>
        <family val="2"/>
      </rPr>
      <t xml:space="preserve"> (537337M)</t>
    </r>
  </si>
  <si>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</si>
  <si>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</si>
  <si>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</si>
  <si>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</si>
  <si>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</si>
  <si>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</si>
  <si>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</si>
  <si>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</si>
  <si>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</si>
  <si>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</si>
  <si>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</si>
  <si>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</si>
  <si>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</si>
  <si>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</si>
  <si>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</si>
  <si>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</si>
  <si>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</si>
  <si>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</si>
  <si>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</si>
  <si>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</si>
  <si>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</si>
  <si>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</si>
  <si>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</si>
  <si>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</si>
  <si>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</si>
  <si>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</si>
  <si>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</si>
  <si>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</si>
  <si>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</si>
  <si>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</si>
  <si>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</si>
  <si>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B14</t>
  </si>
  <si>
    <t>Authorisation for Issue</t>
  </si>
  <si>
    <t>N/A</t>
  </si>
  <si>
    <t>Other Operating Income</t>
  </si>
  <si>
    <t>Profit before taxation</t>
  </si>
  <si>
    <t xml:space="preserve">Note : </t>
  </si>
  <si>
    <t xml:space="preserve">(The Condensed Consolidated Income Statement should be read in conjunction with the Company’s  Audited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</si>
  <si>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</si>
  <si>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</si>
  <si>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</si>
  <si>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</si>
  <si>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</si>
  <si>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</si>
  <si>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</si>
  <si>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</si>
  <si>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</si>
  <si>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</si>
  <si>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</si>
  <si>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</si>
  <si>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</si>
  <si>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Share Capital</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</si>
  <si>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</si>
  <si>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</si>
  <si>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</si>
  <si>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</si>
  <si>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</si>
  <si>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</si>
  <si>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</si>
  <si>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</si>
  <si>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</si>
  <si>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</si>
  <si>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</si>
  <si>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</si>
  <si>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</si>
  <si>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</si>
  <si>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Investments IN CBS Tech GmbH</t>
  </si>
  <si>
    <t>Development Costs</t>
  </si>
  <si>
    <t>Investments in CBS Tech GmbH</t>
  </si>
  <si>
    <t>control check</t>
  </si>
  <si>
    <t>4Q</t>
  </si>
  <si>
    <t>31.12.2004</t>
  </si>
  <si>
    <t>1-3Q</t>
  </si>
  <si>
    <t>1,2</t>
  </si>
  <si>
    <t>No</t>
  </si>
  <si>
    <t xml:space="preserve">YEARLY REPORT ON CONSOLIDATED RESULTS </t>
  </si>
  <si>
    <t xml:space="preserve">     CUMULATIVE </t>
  </si>
  <si>
    <t>Deferred Income</t>
  </si>
  <si>
    <t>TRADE RECEIVABLES</t>
  </si>
  <si>
    <t>Less: Provision for doubtful debts</t>
  </si>
  <si>
    <t>Net</t>
  </si>
  <si>
    <t>OTHER RECEIVABLES</t>
  </si>
  <si>
    <t>Staff loan and advances</t>
  </si>
  <si>
    <t>Others</t>
  </si>
  <si>
    <t>Due from Company in which director has interest</t>
  </si>
  <si>
    <t>TRADE PAYABLES</t>
  </si>
  <si>
    <t>Amount due to a company which directors have interest</t>
  </si>
  <si>
    <t>Other payables</t>
  </si>
  <si>
    <t>Accruals</t>
  </si>
  <si>
    <t>Provisions</t>
  </si>
  <si>
    <t>Hire purchase</t>
  </si>
  <si>
    <t>Selling &amp; Distribution Expenses</t>
  </si>
  <si>
    <t>4,7</t>
  </si>
  <si>
    <t>PPE</t>
  </si>
  <si>
    <t>Investment</t>
  </si>
  <si>
    <t>Goodwill</t>
  </si>
  <si>
    <t>Trade</t>
  </si>
  <si>
    <t>Other</t>
  </si>
  <si>
    <t xml:space="preserve">Fixed </t>
  </si>
  <si>
    <t>Cash and</t>
  </si>
  <si>
    <t>Provision for</t>
  </si>
  <si>
    <t xml:space="preserve">Share </t>
  </si>
  <si>
    <t>Unapp</t>
  </si>
  <si>
    <t>Deferred</t>
  </si>
  <si>
    <t>Receivables</t>
  </si>
  <si>
    <t>Shareholders</t>
  </si>
  <si>
    <t>deposit</t>
  </si>
  <si>
    <t>bank bal.</t>
  </si>
  <si>
    <t>payables</t>
  </si>
  <si>
    <t>Directors</t>
  </si>
  <si>
    <t>taxation</t>
  </si>
  <si>
    <t>Capital</t>
  </si>
  <si>
    <t>Premium</t>
  </si>
  <si>
    <t>profit</t>
  </si>
  <si>
    <t>Control</t>
  </si>
  <si>
    <t>1. Cashflow from operating activities</t>
  </si>
  <si>
    <t xml:space="preserve">Profit before tax </t>
  </si>
  <si>
    <t>Adjustment for:</t>
  </si>
  <si>
    <t>Bad debts written off</t>
  </si>
  <si>
    <t>Prov for doubtful debts</t>
  </si>
  <si>
    <t>Bad debts recovered</t>
  </si>
  <si>
    <t>Prov for diminition in value of investment</t>
  </si>
  <si>
    <t>Prov for doubtful debts no longer required</t>
  </si>
  <si>
    <t>Interest expenses</t>
  </si>
  <si>
    <t>Dividend income</t>
  </si>
  <si>
    <t>Interest income</t>
  </si>
  <si>
    <t>Gain on disposal of PPE</t>
  </si>
  <si>
    <t>Operating profit before working capital changes</t>
  </si>
  <si>
    <t>Payables</t>
  </si>
  <si>
    <t>Bank borrowings</t>
  </si>
  <si>
    <t>Cash generated from operations</t>
  </si>
  <si>
    <t>Dividend received</t>
  </si>
  <si>
    <t>Interest received</t>
  </si>
  <si>
    <t>Dividend paid to minority interest</t>
  </si>
  <si>
    <t>Interest paid</t>
  </si>
  <si>
    <t>Tax paid</t>
  </si>
  <si>
    <t>Net cash from operating activities</t>
  </si>
  <si>
    <t>3.  Cashflow from investing activities</t>
  </si>
  <si>
    <t>Proceeds from disposal of PPE</t>
  </si>
  <si>
    <t>Purchase of PPE</t>
  </si>
  <si>
    <t>Net cash from financing activities</t>
  </si>
  <si>
    <t>4.  Cashflow from financing activities</t>
  </si>
  <si>
    <t>Proceeds from issuance of share</t>
  </si>
  <si>
    <t>Repayment of term loans</t>
  </si>
  <si>
    <t>Repayment of finance creditors</t>
  </si>
  <si>
    <t>Net increase in cash &amp; cash equiv</t>
  </si>
  <si>
    <t>Cash and cash equiv at 1 May</t>
  </si>
  <si>
    <t>Cash and cash equiv at 31 April</t>
  </si>
  <si>
    <t>Cash and cash equiv at the end of the financial</t>
  </si>
  <si>
    <t>year comprised :</t>
  </si>
  <si>
    <t>AJE</t>
  </si>
  <si>
    <t>GROUP</t>
  </si>
  <si>
    <t>Cost</t>
  </si>
  <si>
    <t>At beginning of year</t>
  </si>
  <si>
    <t>Additions</t>
  </si>
  <si>
    <t>Disposals</t>
  </si>
  <si>
    <t>Transfer</t>
  </si>
  <si>
    <t>At end of year</t>
  </si>
  <si>
    <t>Accumulated depreciation</t>
  </si>
  <si>
    <t>Charge for the year</t>
  </si>
  <si>
    <t>Disposal</t>
  </si>
  <si>
    <t>Written off</t>
  </si>
  <si>
    <t>Net book value</t>
  </si>
  <si>
    <t xml:space="preserve">Depreciation charge for the </t>
  </si>
  <si>
    <t>Disposals through subsidiary</t>
  </si>
  <si>
    <t xml:space="preserve"> company disposed off</t>
  </si>
  <si>
    <t>MOTOR VEHICLES</t>
  </si>
  <si>
    <t xml:space="preserve">Transfer </t>
  </si>
  <si>
    <t>ANALYSIS BY COMPANY IN TOTAL</t>
  </si>
  <si>
    <t>control</t>
  </si>
  <si>
    <t>Consol adjustment</t>
  </si>
  <si>
    <t>TOTAL</t>
  </si>
  <si>
    <t>Dr</t>
  </si>
  <si>
    <t>Cr</t>
  </si>
  <si>
    <t>INVESTMENT IN SUBSIDIARY COMPANIES</t>
  </si>
  <si>
    <t>Unquoted shares:-</t>
  </si>
  <si>
    <t>Less: Provision for diminution in value</t>
  </si>
  <si>
    <t>Net investment</t>
  </si>
  <si>
    <t>INVESTMENT</t>
  </si>
  <si>
    <t>Quoted investments</t>
  </si>
  <si>
    <t>Other investment</t>
  </si>
  <si>
    <t>GOODWILL</t>
  </si>
  <si>
    <t>Goodwill arising on consolidation</t>
  </si>
  <si>
    <t>At beginning of the year</t>
  </si>
  <si>
    <t>Addition</t>
  </si>
  <si>
    <t>At end of the year</t>
  </si>
  <si>
    <t>Deposits pledged for banking facilities</t>
  </si>
  <si>
    <t xml:space="preserve">Amount due to a person connected to directors </t>
  </si>
  <si>
    <t>DEFERRED TAXATION</t>
  </si>
  <si>
    <t>Transfer from profit &amp; loss account</t>
  </si>
  <si>
    <t>Current tax payable:</t>
  </si>
  <si>
    <t xml:space="preserve"> current year</t>
  </si>
  <si>
    <t xml:space="preserve"> under/(over)provision in prior years</t>
  </si>
  <si>
    <t>Deferred taxation:</t>
  </si>
  <si>
    <t>Section 108 balance</t>
  </si>
  <si>
    <t>Tax exempt income</t>
  </si>
  <si>
    <t>Unabsorbed losses</t>
  </si>
  <si>
    <t>Unutilised  capital allowance</t>
  </si>
  <si>
    <t xml:space="preserve">Tax saving for wich cedit is taken as a result of the realisation </t>
  </si>
  <si>
    <t>of unabsorbed CA b/f</t>
  </si>
  <si>
    <t xml:space="preserve">Tax saving for wich cedit is taken as a result of the utilisation </t>
  </si>
  <si>
    <t>of reinvestment allowance uder Promotion of Investmen Act,1986</t>
  </si>
  <si>
    <t>NINTH SCHEDULE DISCLOSURES</t>
  </si>
  <si>
    <t>After charging:</t>
  </si>
  <si>
    <t xml:space="preserve">                                                 - current year</t>
  </si>
  <si>
    <t>Depeciation</t>
  </si>
  <si>
    <t>Directors' remuneration:-</t>
  </si>
  <si>
    <t>-Fee</t>
  </si>
  <si>
    <t>-Other emolument</t>
  </si>
  <si>
    <t>Property, plant &amp; equipment written off</t>
  </si>
  <si>
    <t>Interest expenses:-</t>
  </si>
  <si>
    <t>-Leasing</t>
  </si>
  <si>
    <t>-Hire purchase and lease</t>
  </si>
  <si>
    <t>-Overdraft</t>
  </si>
  <si>
    <t>-Trust receipts</t>
  </si>
  <si>
    <t>-Revolving credit</t>
  </si>
  <si>
    <t>-BA</t>
  </si>
  <si>
    <t>-Term loan</t>
  </si>
  <si>
    <t>-Other</t>
  </si>
  <si>
    <t xml:space="preserve">Provision for diminution in value </t>
  </si>
  <si>
    <t>Provision for doubtful debts</t>
  </si>
  <si>
    <t>Rental of premises</t>
  </si>
  <si>
    <t>Rental of motor vehicles</t>
  </si>
  <si>
    <t>Rental of equipment</t>
  </si>
  <si>
    <t>And crediting:</t>
  </si>
  <si>
    <t>Loss/(Gain) on disposal of fixed assets</t>
  </si>
  <si>
    <t>Gain on disposal of investments</t>
  </si>
  <si>
    <t>Gain on disposal of associated company</t>
  </si>
  <si>
    <t>Royalty income from subsidiary company</t>
  </si>
  <si>
    <t>Gain on foreign exchange</t>
  </si>
  <si>
    <t>- realised</t>
  </si>
  <si>
    <t>Provision for doutbful debts no longer req</t>
  </si>
  <si>
    <t>Rental income</t>
  </si>
  <si>
    <t>Directors' benefit in kind</t>
  </si>
  <si>
    <t>EMPLOYEE INFORMATION</t>
  </si>
  <si>
    <t>No of staff</t>
  </si>
  <si>
    <t xml:space="preserve">Development </t>
  </si>
  <si>
    <t xml:space="preserve">Work-in </t>
  </si>
  <si>
    <t>Progress</t>
  </si>
  <si>
    <t>Short-term</t>
  </si>
  <si>
    <t>Work-in progress</t>
  </si>
  <si>
    <t xml:space="preserve">WIP </t>
  </si>
  <si>
    <t xml:space="preserve">Deferred </t>
  </si>
  <si>
    <t>Income</t>
  </si>
  <si>
    <t xml:space="preserve">Other short term </t>
  </si>
  <si>
    <t>NOTES TO PROPERTY, PLANT AND EQUIPMENT BY CATEGORY AS AT 31ST DECEMBER 2004</t>
  </si>
  <si>
    <t>FREEHOLD LAND</t>
  </si>
  <si>
    <t xml:space="preserve"> year ended 31st December 2003</t>
  </si>
  <si>
    <t>FREEHOLD BUILDING</t>
  </si>
  <si>
    <t>OFFICE EQUIPMENT</t>
  </si>
  <si>
    <t xml:space="preserve">FURNITURE &amp; FITTINGS </t>
  </si>
  <si>
    <t>COMPUTER</t>
  </si>
  <si>
    <t>RENOVATIONS</t>
  </si>
  <si>
    <t>CONSOLIDATED NOTES TO THE ACCOUNTS AS AT 31st December 2004</t>
  </si>
  <si>
    <t xml:space="preserve">Market Value </t>
  </si>
  <si>
    <t>DEVELOPMENT COST</t>
  </si>
  <si>
    <t>Charge to Income Statement</t>
  </si>
  <si>
    <t>Investment in subsidiaries</t>
  </si>
  <si>
    <t>Amt due from / (to) director</t>
  </si>
  <si>
    <t>Deposits &amp; prepayment</t>
  </si>
  <si>
    <t>OTHER SHORT TERM INVESTMENT-LIQUID</t>
  </si>
  <si>
    <t>Repo placed with licenced banks</t>
  </si>
  <si>
    <t>Short term investment - AM Investment</t>
  </si>
  <si>
    <t>OTHER PAYABLES (2004)</t>
  </si>
  <si>
    <t>OTHER PAYABLES (2003)</t>
  </si>
  <si>
    <t>Amount due to directors of subsi company                          -2004</t>
  </si>
  <si>
    <t>Amortisation of freehold building</t>
  </si>
  <si>
    <t>Staff commission</t>
  </si>
  <si>
    <t>Director remuneration</t>
  </si>
  <si>
    <t>Staff allowance</t>
  </si>
  <si>
    <t>Staff bonus</t>
  </si>
  <si>
    <t>Staff EPF</t>
  </si>
  <si>
    <t>Staff SOCSO</t>
  </si>
  <si>
    <t>Staff recruitment</t>
  </si>
  <si>
    <t>Staff benefits</t>
  </si>
  <si>
    <t>Staff refreshment</t>
  </si>
  <si>
    <t>Staff welfare</t>
  </si>
  <si>
    <t>Staff insurance</t>
  </si>
  <si>
    <t>Director insurance</t>
  </si>
  <si>
    <t>Director allowance</t>
  </si>
  <si>
    <t>Staff salary</t>
  </si>
  <si>
    <t>Staff medical</t>
  </si>
  <si>
    <t>Incentive</t>
  </si>
  <si>
    <t>Saff costs - 2004</t>
  </si>
  <si>
    <t>Saff costs - 2003</t>
  </si>
  <si>
    <t>Investment in subsidiary</t>
  </si>
  <si>
    <t>Cash used in JV investment</t>
  </si>
  <si>
    <t>Auditors' remuneration - (over) / underprov in prior year</t>
  </si>
  <si>
    <t>Staff training</t>
  </si>
  <si>
    <t>Director bonus</t>
  </si>
  <si>
    <t>Technical staff wages</t>
  </si>
  <si>
    <t>Admin wages</t>
  </si>
  <si>
    <t>FOR THE FOURTH QUARTER ENDED 31ST DECEMBER 2004</t>
  </si>
  <si>
    <t>Director fee</t>
  </si>
  <si>
    <t>WORK-IN-PROGRESS</t>
  </si>
  <si>
    <t>Elimination of amount owing by Netgen</t>
  </si>
  <si>
    <t>9</t>
  </si>
  <si>
    <t>Quarter Ended</t>
  </si>
  <si>
    <t>Jan  to Dec'04</t>
  </si>
  <si>
    <t>Cash and cash equivalent at beginning of year</t>
  </si>
  <si>
    <t>Cash used in development cost</t>
  </si>
  <si>
    <t>TWELVE MONTHS ENDED 31ST DECEMBER 2004</t>
  </si>
  <si>
    <t xml:space="preserve">At 31 December 2004 </t>
  </si>
  <si>
    <t>Deposit placed with licenced banks</t>
  </si>
  <si>
    <t xml:space="preserve"> year ended 31st Dec 2003</t>
  </si>
  <si>
    <t>4,5,6,10</t>
  </si>
  <si>
    <t>5,6,10,11</t>
  </si>
  <si>
    <t>7,11</t>
  </si>
  <si>
    <t>30.09.2004</t>
  </si>
  <si>
    <t>Training expenses</t>
  </si>
  <si>
    <t>For The Year Ended 31.03.2005 (Q1)</t>
  </si>
  <si>
    <t>FOR THE QUARTER ENDED  31.03.2005</t>
  </si>
  <si>
    <t>FOR THE FOURTH QUARTER ENDED 31ST MARCH 2005</t>
  </si>
  <si>
    <t>YTD for 3 months</t>
  </si>
  <si>
    <t>31.03.2005</t>
  </si>
  <si>
    <t>31.03.2004</t>
  </si>
  <si>
    <t>Utilisation of listing expenses</t>
  </si>
  <si>
    <t>Proceeds from withdrawal of FD</t>
  </si>
  <si>
    <t>8</t>
  </si>
  <si>
    <t>1</t>
  </si>
  <si>
    <t>2</t>
  </si>
  <si>
    <t>3</t>
  </si>
  <si>
    <t xml:space="preserve">At 31 March 2005 </t>
  </si>
  <si>
    <t>Pre-acquisition losses</t>
  </si>
  <si>
    <t>Net Profit attributable to</t>
  </si>
  <si>
    <t>members of the Company</t>
  </si>
  <si>
    <t>FOR THE FIRST QUARTER ENDED 31 MARCH 2005</t>
  </si>
  <si>
    <t>FOR THE QUARTER ENDED 31ST MARCH 2005</t>
  </si>
  <si>
    <t>FOR THE FIRST QUARTER ENDED 31ST MARCH 2005</t>
  </si>
  <si>
    <t>CONDENSED CONSOLIDATED BALANCE SHEET AS AT 31ST MARCH 2005</t>
  </si>
  <si>
    <t>Net profit for the period</t>
  </si>
  <si>
    <t>Consol Cashflow Statement For The Period Ended 31st March 2005</t>
  </si>
  <si>
    <t xml:space="preserve"> Financial Statements for the year ended 31 December, 2004)</t>
  </si>
  <si>
    <t>Cyber Business Solution</t>
  </si>
  <si>
    <t xml:space="preserve">Elimination of intercompany sales </t>
  </si>
  <si>
    <t>Cost of Sales</t>
  </si>
  <si>
    <t>Gross Profit</t>
  </si>
  <si>
    <t>Selling and Distribution Expenses</t>
  </si>
  <si>
    <t>Administration Expenses</t>
  </si>
  <si>
    <t>Other Operating Expenses</t>
  </si>
  <si>
    <t>Net Profit for the financial year</t>
  </si>
  <si>
    <t>INDIVIDUAL QUARTER</t>
  </si>
  <si>
    <t>CUMULATIVE QUARTER</t>
  </si>
  <si>
    <t>CURRENT</t>
  </si>
  <si>
    <t>CORRESPONDING</t>
  </si>
  <si>
    <t>Profit from operations</t>
  </si>
  <si>
    <t>Finance costs</t>
  </si>
  <si>
    <t>- Basic</t>
  </si>
  <si>
    <t>- Diluted</t>
  </si>
  <si>
    <t>amortisation</t>
  </si>
  <si>
    <t xml:space="preserve">Depreciation and </t>
  </si>
  <si>
    <t>(AUDITED)</t>
  </si>
  <si>
    <t>Distributable</t>
  </si>
  <si>
    <t>QUARTER ENDED</t>
  </si>
  <si>
    <t>Inventories</t>
  </si>
  <si>
    <t>Deferred Taxation</t>
  </si>
  <si>
    <t>Non -</t>
  </si>
  <si>
    <t>Share Premium</t>
  </si>
  <si>
    <t>Property, Plant and Equipment</t>
  </si>
  <si>
    <t>Current Liabilities</t>
  </si>
  <si>
    <t>Hire Purchase Payables</t>
  </si>
  <si>
    <t>Bank Borrowings</t>
  </si>
  <si>
    <t>Retained Profit</t>
  </si>
  <si>
    <t>Shareholders' Funds</t>
  </si>
  <si>
    <t>Non-Current Liabilities</t>
  </si>
  <si>
    <t>Term Loan</t>
  </si>
  <si>
    <t>YEAR TO DATE</t>
  </si>
  <si>
    <t>ENDED</t>
  </si>
  <si>
    <t>AS AT CURRENT</t>
  </si>
  <si>
    <t>Capital Reserve</t>
  </si>
  <si>
    <t>Minority interest</t>
  </si>
  <si>
    <t>Forex Reserve</t>
  </si>
  <si>
    <t>Minority Interest</t>
  </si>
  <si>
    <t>Exchange fluctuation reserve</t>
  </si>
  <si>
    <t>Attributable to :</t>
  </si>
  <si>
    <t>Equity holders of the parent</t>
  </si>
  <si>
    <t>Minority</t>
  </si>
  <si>
    <t>Interest</t>
  </si>
  <si>
    <t>Minority Interest share of</t>
  </si>
  <si>
    <t xml:space="preserve">   ordinary shares</t>
  </si>
  <si>
    <t>Net assets per share attributable to ordinary equity</t>
  </si>
  <si>
    <t xml:space="preserve">  holders of the parent (sen)</t>
  </si>
  <si>
    <t>ES CERAMICS TECHNOLOGY BHD</t>
  </si>
  <si>
    <t>Company No. 627117-P</t>
  </si>
  <si>
    <t xml:space="preserve">Exchange differences on </t>
  </si>
  <si>
    <t xml:space="preserve">  translation of the financial</t>
  </si>
  <si>
    <t xml:space="preserve">  statements of foreign entities</t>
  </si>
  <si>
    <t xml:space="preserve">                                                                                                                                                                                                              </t>
  </si>
  <si>
    <t xml:space="preserve">CURRENT </t>
  </si>
  <si>
    <t>PRECEDING YEAR</t>
  </si>
  <si>
    <t>Adjustments for :-</t>
  </si>
  <si>
    <t>Depreciation of property, plant and equipment</t>
  </si>
  <si>
    <t>(Profit) / Loss on disposal of property, plant &amp; equipment</t>
  </si>
  <si>
    <t>Changes in working capital:</t>
  </si>
  <si>
    <t>(Increase) / Decrease in inventories</t>
  </si>
  <si>
    <t>(Increase) / Decrease in receivables</t>
  </si>
  <si>
    <t>Increase / (Decrease) in payables</t>
  </si>
  <si>
    <t>Income tax paid</t>
  </si>
  <si>
    <t>Net cash generated by operating activities</t>
  </si>
  <si>
    <t>Cash flows from investing activities</t>
  </si>
  <si>
    <t>Purchase of property, plant and equipment</t>
  </si>
  <si>
    <t>Development costs incurred</t>
  </si>
  <si>
    <t>Proceeds from disposal of property, plant and equipment</t>
  </si>
  <si>
    <t>Investment in subsidiary companies</t>
  </si>
  <si>
    <t>Listing expenses</t>
  </si>
  <si>
    <t>Net cash used in investing activities</t>
  </si>
  <si>
    <t>Drawdown / (Repayment) of bank borrowings</t>
  </si>
  <si>
    <t>Drawdown / (Repayment) of term loan</t>
  </si>
  <si>
    <t>Proceeds from issuance of ordinary shares</t>
  </si>
  <si>
    <t>Issuance of shares pursuant to exercise of share options</t>
  </si>
  <si>
    <t>Net increase / (decrease) in cash and cash equivalents</t>
  </si>
  <si>
    <t>Effect of exchange rate changes</t>
  </si>
  <si>
    <t>Cash and cash equivalents at beginning of period</t>
  </si>
  <si>
    <t>Cash and cash equivalents at end of period</t>
  </si>
  <si>
    <t>CONDENSED CONSOLIDATED CASH FLOW STATEMENTS</t>
  </si>
  <si>
    <t xml:space="preserve">CONDENSED CONSOLIDATED STATEMENTS OF CHANGES IN EQUITY </t>
  </si>
  <si>
    <t xml:space="preserve">CONDENSED CONSOLIDATED INCOME STATEMENTS (UNAUDITED) </t>
  </si>
  <si>
    <t>Drawdown / (Repayment) of hire purchase</t>
  </si>
  <si>
    <t>Advance from director</t>
  </si>
  <si>
    <t>Share options granted under ESOS</t>
  </si>
  <si>
    <t>Cash and cash equivalent comprises of:</t>
  </si>
  <si>
    <t xml:space="preserve"> - Cash and bank balances</t>
  </si>
  <si>
    <t>Dividends Paid</t>
  </si>
  <si>
    <t>Loan administration fee</t>
  </si>
  <si>
    <t>(UNAUDITED)</t>
  </si>
  <si>
    <t xml:space="preserve">CONDENSED CONSOLIDATED BALANCE SHEETS </t>
  </si>
  <si>
    <t xml:space="preserve">AS AT FINANCIAL </t>
  </si>
  <si>
    <t>YEAR ENDED</t>
  </si>
  <si>
    <t>Trade &amp; Other Receivables</t>
  </si>
  <si>
    <t>TOTAL ASSETS</t>
  </si>
  <si>
    <t>ASSETS</t>
  </si>
  <si>
    <t xml:space="preserve">EQUITY AND LIABILITIES </t>
  </si>
  <si>
    <t>Non-Current Assets</t>
  </si>
  <si>
    <t>Intangible Assets</t>
  </si>
  <si>
    <t>Securities Held-to-Maturity</t>
  </si>
  <si>
    <t>Prepaid Lease Payments For Land</t>
  </si>
  <si>
    <t>TOTAL EQUITY</t>
  </si>
  <si>
    <t>LIABILITIES</t>
  </si>
  <si>
    <t>TOTAL LIABILITIES</t>
  </si>
  <si>
    <t xml:space="preserve">TOTAL EQUITY AND LIABILITIES </t>
  </si>
  <si>
    <t>Current Tax Asset</t>
  </si>
  <si>
    <t>Cash and Cash Equivalents</t>
  </si>
  <si>
    <t>Current Tax Payable</t>
  </si>
  <si>
    <t>Trade and Other Payables</t>
  </si>
  <si>
    <t>(The condensed consolidated Income Statement should be read in conjunction with the Annual Financial Report for the financial year ended 31 May 2009)</t>
  </si>
  <si>
    <t>(The condensed consolidated Balance Sheet should be read in conjunction with the Annual Financial Report for the financial year ended 31 May 2009)</t>
  </si>
  <si>
    <t>(The condensed consolidated Statement of changes in Equity should be read in conjunction with the Annual Financial Report for the financial year ended 31 May 2008)</t>
  </si>
  <si>
    <t>(The condensed consolidated Cash Flow Statement should be read in conjunction with the Annual Financial Report for the financial year ended 31 May 2009)</t>
  </si>
  <si>
    <t>Net profit/(loss) for the period</t>
  </si>
  <si>
    <t>Allowance for doubtful debts no longer required</t>
  </si>
  <si>
    <t>Equity Attributable to Equity Holders of the Company</t>
  </si>
  <si>
    <t>As at 31 May 2008</t>
  </si>
  <si>
    <t>As at 31 May 2009</t>
  </si>
  <si>
    <t xml:space="preserve"> - Fixed Deposits</t>
  </si>
  <si>
    <t>As reported in the balance sheets</t>
  </si>
  <si>
    <t>As reported in cash flow statements</t>
  </si>
  <si>
    <r>
      <t>Less</t>
    </r>
    <r>
      <rPr>
        <sz val="10"/>
        <rFont val="Arial"/>
        <family val="2"/>
      </rPr>
      <t xml:space="preserve"> : Fixed deposits pledged as security</t>
    </r>
  </si>
  <si>
    <t xml:space="preserve">          Bank overdrafts </t>
  </si>
  <si>
    <t>under ESOS</t>
  </si>
  <si>
    <t xml:space="preserve">Share options granted /lapsed </t>
  </si>
  <si>
    <t>As at 28 Feb 2009</t>
  </si>
  <si>
    <t>Research &amp; Development costs written off</t>
  </si>
  <si>
    <t>Bad debt written off</t>
  </si>
  <si>
    <t>ENDED 28 FEBRUARY 2010</t>
  </si>
  <si>
    <t>Quarter Ended 28 Feb 2009</t>
  </si>
  <si>
    <t>Quarter Ended 28 Feb 2010</t>
  </si>
  <si>
    <t>As at 28 Feb 2010</t>
  </si>
  <si>
    <t>INTERIM FINANCIAL REPORT FOR THE THIRD QUARTER</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</si>
</sst>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t&quot;$&quot;#,##0_);\(\t&quot;$&quot;#,##0\)"/>
    <numFmt numFmtId="179" formatCode="\t&quot;$&quot;#,##0_);[Red]\(\t&quot;$&quot;#,##0\)"/>
    <numFmt numFmtId="180" formatCode="\t&quot;$&quot;#,##0.00_);\(\t&quot;$&quot;#,##0.00\)"/>
    <numFmt numFmtId="181" formatCode="\t&quot;$&quot;#,##0.00_);[Red]\(\t&quot;$&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_);_(* \(#,##0.0\);_(* &quot;-&quot;??_);_(@_)"/>
    <numFmt numFmtId="189" formatCode="_(* #,##0_);_(* \(#,##0\);_(* &quot;-&quot;??_);_(@_)"/>
    <numFmt numFmtId="190" formatCode="_(* #,##0.0_);_(* \(#,##0.0\);_(* &quot;-&quot;?_);_(@_)"/>
    <numFmt numFmtId="191" formatCode="[$-409]dddd\,\ dd\ mmmm\,\ yyyy"/>
    <numFmt numFmtId="192" formatCode="[$-409]d\-mmm\-yy;@"/>
    <numFmt numFmtId="193" formatCode="0.0%"/>
    <numFmt numFmtId="194" formatCode="_(* #,##0.000_);_(* \(#,##0.000\);_(* &quot;-&quot;??_);_(@_)"/>
    <numFmt numFmtId="195" formatCode="_(* #,##0.0000_);_(* \(#,##0.0000\);_(* &quot;-&quot;??_);_(@_)"/>
    <numFmt numFmtId="196" formatCode="_(* #,##0.00000_);_(* \(#,##0.00000\);_(* &quot;-&quot;??_);_(@_)"/>
    <numFmt numFmtId="197" formatCode="#,##0.00;\&lt;#,##0.00\&gt;"/>
    <numFmt numFmtId="198" formatCode="0.0000"/>
    <numFmt numFmtId="199" formatCode="0.000"/>
    <numFmt numFmtId="200" formatCode="#,##0.0_);[Red]\(#,##0.0\)"/>
    <numFmt numFmtId="201" formatCode="0.0"/>
    <numFmt numFmtId="202" formatCode="_(* #,##0.000000_);_(* \(#,##0.000000\);_(* &quot;-&quot;??_);_(@_)"/>
    <numFmt numFmtId="203" formatCode="_(* #,##0.0000000_);_(* \(#,##0.0000000\);_(* &quot;-&quot;??_);_(@_)"/>
    <numFmt numFmtId="204" formatCode="0.00000"/>
    <numFmt numFmtId="205" formatCode="0.000000"/>
    <numFmt numFmtId="206" formatCode="0.0000000"/>
    <numFmt numFmtId="207" formatCode="#,##0.000_);\(#,##0.000\)"/>
    <numFmt numFmtId="208" formatCode="#,##0.0_);\(#,##0.0\)"/>
    <numFmt numFmtId="209" formatCode="0.00000000"/>
    <numFmt numFmtId="210" formatCode="0.0000000000"/>
    <numFmt numFmtId="211" formatCode="0.00000000000"/>
    <numFmt numFmtId="212" formatCode="0.000000000"/>
    <numFmt numFmtId="213" formatCode="0.00_);\(0.00\)"/>
    <numFmt numFmtId="214" formatCode="[$-409]dddd\,\ mmmm\ dd\,\ yyyy"/>
    <numFmt numFmtId="215" formatCode="&quot;Yes&quot;;&quot;Yes&quot;;&quot;No&quot;"/>
    <numFmt numFmtId="216" formatCode="&quot;True&quot;;&quot;True&quot;;&quot;False&quot;"/>
    <numFmt numFmtId="217" formatCode="&quot;On&quot;;&quot;On&quot;;&quot;Off&quot;"/>
    <numFmt numFmtId="218" formatCode="[$€-2]\ #,##0.00_);[Red]\([$€-2]\ #,##0.00\)"/>
    <numFmt numFmtId="219" formatCode="#,##0.00000"/>
    <numFmt numFmtId="220" formatCode="mmm\-yyyy"/>
    <numFmt numFmtId="221" formatCode="_(* #,##0_);_(* \(#,##0\);_(* \-_);_(@_)"/>
    <numFmt numFmtId="222" formatCode="&quot;ใช่&quot;;&quot;ใช่&quot;;&quot;ไม่ใช่&quot;"/>
    <numFmt numFmtId="223" formatCode="&quot;จริง&quot;;&quot;จริง&quot;;&quot;เท็จ&quot;"/>
    <numFmt numFmtId="224" formatCode="&quot;เปิด&quot;;&quot;เปิด&quot;;&quot;ปิด&quot;"/>
  </numFmts>
  <fonts count="54">
    <font>
      <sz val="10"/>
      <name val="Arial"/>
      <family val="0"/>
    </font>
    <font>
      <sz val="8"/>
      <name val="Arial"/>
      <family val="2"/>
    </font>
    <font>
      <b/>
      <sz val="10"/>
      <name val="Arial"/>
      <family val="2"/>
    </font>
    <font>
      <b/>
      <sz val="9"/>
      <name val="Arial"/>
      <family val="2"/>
    </font>
    <font>
      <b/>
      <sz val="10"/>
      <name val="Times New Roman"/>
      <family val="1"/>
    </font>
    <font>
      <b/>
      <sz val="12"/>
      <name val="Arial"/>
      <family val="2"/>
    </font>
    <font>
      <sz val="10"/>
      <color indexed="10"/>
      <name val="Arial"/>
      <family val="2"/>
    </font>
    <font>
      <b/>
      <sz val="11"/>
      <name val="Arial"/>
      <family val="2"/>
    </font>
    <font>
      <sz val="10"/>
      <color indexed="12"/>
      <name val="Arial"/>
      <family val="2"/>
    </font>
    <font>
      <sz val="10"/>
      <color indexed="50"/>
      <name val="Arial"/>
      <family val="2"/>
    </font>
    <font>
      <sz val="11"/>
      <name val="Arial"/>
      <family val="2"/>
    </font>
    <font>
      <sz val="12"/>
      <name val="Arial"/>
      <family val="2"/>
    </font>
    <font>
      <b/>
      <sz val="8"/>
      <name val="Arial"/>
      <family val="2"/>
    </font>
    <font>
      <b/>
      <sz val="10"/>
      <color indexed="10"/>
      <name val="Arial"/>
      <family val="2"/>
    </font>
    <font>
      <sz val="8"/>
      <color indexed="10"/>
      <name val="Arial"/>
      <family val="2"/>
    </font>
    <font>
      <b/>
      <sz val="10"/>
      <color indexed="10"/>
      <name val="Times New Roman"/>
      <family val="1"/>
    </font>
    <font>
      <b/>
      <sz val="9"/>
      <color indexed="10"/>
      <name val="Arial"/>
      <family val="2"/>
    </font>
    <font>
      <sz val="10"/>
      <color indexed="53"/>
      <name val="Arial"/>
      <family val="2"/>
    </font>
    <font>
      <sz val="11"/>
      <name val="MS Sans Serif"/>
      <family val="2"/>
    </font>
    <font>
      <u val="single"/>
      <sz val="10"/>
      <color indexed="12"/>
      <name val="Arial"/>
      <family val="2"/>
    </font>
    <font>
      <u val="single"/>
      <sz val="10"/>
      <color indexed="36"/>
      <name val="Arial"/>
      <family val="2"/>
    </font>
    <font>
      <b/>
      <i/>
      <u val="single"/>
      <sz val="10"/>
      <name val="Times New Roman"/>
      <family val="1"/>
    </font>
    <font>
      <sz val="10"/>
      <name val="Times New Roman"/>
      <family val="1"/>
    </font>
    <font>
      <sz val="10"/>
      <color indexed="10"/>
      <name val="Times New Roman"/>
      <family val="1"/>
    </font>
    <font>
      <i/>
      <sz val="10"/>
      <name val="Times New Roman"/>
      <family val="1"/>
    </font>
    <font>
      <u val="single"/>
      <sz val="10"/>
      <name val="Times New Roman"/>
      <family val="1"/>
    </font>
    <font>
      <sz val="10"/>
      <color indexed="9"/>
      <name val="Times New Roman"/>
      <family val="1"/>
    </font>
    <font>
      <b/>
      <sz val="14"/>
      <name val="Arial"/>
      <family val="2"/>
    </font>
    <font>
      <b/>
      <i/>
      <sz val="12"/>
      <name val="Arial"/>
      <family val="2"/>
    </font>
    <font>
      <i/>
      <sz val="12"/>
      <color indexed="48"/>
      <name val="Arial"/>
      <family val="2"/>
    </font>
    <font>
      <i/>
      <sz val="10"/>
      <color indexed="48"/>
      <name val="Arial"/>
      <family val="2"/>
    </font>
    <font>
      <b/>
      <i/>
      <sz val="10"/>
      <color indexed="48"/>
      <name val="Arial"/>
      <family val="2"/>
    </font>
    <font>
      <b/>
      <i/>
      <sz val="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u val="single"/>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style="thin"/>
      <bottom style="double"/>
    </border>
    <border>
      <left style="medium"/>
      <right style="medium"/>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0" fillId="0" borderId="0">
      <alignment/>
      <protection/>
    </xf>
    <xf numFmtId="0" fontId="18" fillId="0" borderId="0">
      <alignment/>
      <protection/>
    </xf>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54">
    <xf numFmtId="0" fontId="0" fillId="0" borderId="0" xfId="0" applyAlignment="1">
      <alignment/>
    </xf>
    <xf numFmtId="43" fontId="0" fillId="0" borderId="0" xfId="42" applyFont="1" applyAlignment="1">
      <alignment/>
    </xf>
    <xf numFmtId="43" fontId="3" fillId="0" borderId="0" xfId="42" applyFont="1" applyAlignment="1">
      <alignment horizontal="center"/>
    </xf>
    <xf numFmtId="0" fontId="1" fillId="0" borderId="0" xfId="0" applyFont="1" applyAlignment="1">
      <alignment/>
    </xf>
    <xf numFmtId="43" fontId="1" fillId="0" borderId="0" xfId="42" applyFont="1" applyAlignment="1">
      <alignment/>
    </xf>
    <xf numFmtId="43" fontId="1" fillId="0" borderId="10" xfId="42" applyFont="1" applyBorder="1" applyAlignment="1">
      <alignment/>
    </xf>
    <xf numFmtId="43" fontId="1" fillId="0" borderId="11" xfId="42" applyFont="1" applyBorder="1" applyAlignment="1">
      <alignment/>
    </xf>
    <xf numFmtId="43" fontId="1" fillId="0" borderId="12" xfId="42" applyFont="1" applyBorder="1" applyAlignment="1">
      <alignment/>
    </xf>
    <xf numFmtId="43" fontId="1" fillId="0" borderId="13" xfId="42" applyFont="1" applyBorder="1" applyAlignment="1">
      <alignment/>
    </xf>
    <xf numFmtId="0" fontId="2" fillId="0" borderId="0" xfId="0" applyFont="1" applyAlignment="1">
      <alignment/>
    </xf>
    <xf numFmtId="189" fontId="0" fillId="0" borderId="0" xfId="42" applyNumberFormat="1" applyFont="1" applyAlignment="1">
      <alignment/>
    </xf>
    <xf numFmtId="189" fontId="3" fillId="0" borderId="0" xfId="42" applyNumberFormat="1" applyFont="1" applyAlignment="1">
      <alignment horizontal="center"/>
    </xf>
    <xf numFmtId="189" fontId="0" fillId="0" borderId="10" xfId="42" applyNumberFormat="1" applyFont="1" applyBorder="1" applyAlignment="1">
      <alignment/>
    </xf>
    <xf numFmtId="189" fontId="0" fillId="0" borderId="11" xfId="42" applyNumberFormat="1" applyFont="1" applyBorder="1" applyAlignment="1">
      <alignment/>
    </xf>
    <xf numFmtId="189" fontId="0" fillId="0" borderId="12" xfId="42" applyNumberFormat="1" applyFont="1" applyBorder="1" applyAlignment="1">
      <alignment/>
    </xf>
    <xf numFmtId="189" fontId="0" fillId="0" borderId="13" xfId="42" applyNumberFormat="1" applyFont="1" applyBorder="1" applyAlignment="1">
      <alignment/>
    </xf>
    <xf numFmtId="0" fontId="0" fillId="0" borderId="0" xfId="0" applyFont="1" applyAlignment="1">
      <alignment/>
    </xf>
    <xf numFmtId="189" fontId="0" fillId="0" borderId="14" xfId="42" applyNumberFormat="1" applyFont="1" applyBorder="1" applyAlignment="1">
      <alignment/>
    </xf>
    <xf numFmtId="189" fontId="0" fillId="0" borderId="14" xfId="42" applyNumberFormat="1" applyFont="1" applyBorder="1" applyAlignment="1">
      <alignment/>
    </xf>
    <xf numFmtId="189" fontId="0" fillId="0" borderId="0" xfId="42" applyNumberFormat="1" applyFont="1" applyAlignment="1">
      <alignment/>
    </xf>
    <xf numFmtId="43" fontId="0" fillId="0" borderId="0" xfId="0" applyNumberFormat="1" applyAlignment="1">
      <alignment/>
    </xf>
    <xf numFmtId="189" fontId="0" fillId="0" borderId="0" xfId="0" applyNumberFormat="1" applyAlignment="1">
      <alignment/>
    </xf>
    <xf numFmtId="189" fontId="0" fillId="0" borderId="0" xfId="42" applyNumberFormat="1" applyFont="1" applyBorder="1" applyAlignment="1">
      <alignment/>
    </xf>
    <xf numFmtId="189" fontId="0" fillId="0" borderId="0" xfId="42" applyNumberFormat="1" applyFont="1" applyAlignment="1">
      <alignment/>
    </xf>
    <xf numFmtId="0" fontId="0" fillId="0" borderId="0" xfId="0" applyFont="1" applyAlignment="1">
      <alignment/>
    </xf>
    <xf numFmtId="0" fontId="0" fillId="0" borderId="0" xfId="0" applyFont="1" applyBorder="1" applyAlignment="1">
      <alignment/>
    </xf>
    <xf numFmtId="189" fontId="0" fillId="0" borderId="0" xfId="42"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189" fontId="1" fillId="0" borderId="0" xfId="42" applyNumberFormat="1" applyFont="1" applyAlignment="1">
      <alignmen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xf>
    <xf numFmtId="189" fontId="0" fillId="0" borderId="0" xfId="42" applyNumberFormat="1" applyFont="1" applyBorder="1" applyAlignment="1">
      <alignment/>
    </xf>
    <xf numFmtId="189" fontId="0" fillId="0" borderId="0" xfId="42" applyNumberFormat="1" applyFont="1" applyAlignment="1">
      <alignment horizontal="center"/>
    </xf>
    <xf numFmtId="0" fontId="6" fillId="0" borderId="0" xfId="0" applyFont="1" applyAlignment="1">
      <alignment/>
    </xf>
    <xf numFmtId="0" fontId="7" fillId="0" borderId="0" xfId="0" applyFont="1" applyAlignment="1">
      <alignment/>
    </xf>
    <xf numFmtId="189" fontId="2" fillId="0" borderId="0" xfId="42" applyNumberFormat="1" applyFont="1" applyAlignment="1">
      <alignment horizontal="center"/>
    </xf>
    <xf numFmtId="0" fontId="2" fillId="0" borderId="0" xfId="0" applyFont="1" applyAlignment="1" quotePrefix="1">
      <alignment horizontal="left"/>
    </xf>
    <xf numFmtId="189" fontId="0" fillId="0" borderId="13" xfId="42"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89" fontId="0" fillId="0" borderId="13" xfId="42" applyNumberFormat="1" applyFont="1" applyBorder="1" applyAlignment="1">
      <alignment horizontal="justify"/>
    </xf>
    <xf numFmtId="189" fontId="0" fillId="0" borderId="0" xfId="42" applyNumberFormat="1" applyFont="1" applyBorder="1" applyAlignment="1">
      <alignment horizontal="justify"/>
    </xf>
    <xf numFmtId="0" fontId="0" fillId="0" borderId="0" xfId="0" applyBorder="1" applyAlignment="1">
      <alignment/>
    </xf>
    <xf numFmtId="0" fontId="10" fillId="0" borderId="10" xfId="0" applyFont="1" applyBorder="1" applyAlignment="1">
      <alignment horizontal="center" wrapText="1"/>
    </xf>
    <xf numFmtId="0" fontId="10" fillId="0" borderId="15" xfId="0" applyFont="1" applyBorder="1" applyAlignment="1">
      <alignment horizontal="center" wrapText="1"/>
    </xf>
    <xf numFmtId="0" fontId="0" fillId="0" borderId="10" xfId="0" applyBorder="1" applyAlignment="1">
      <alignment/>
    </xf>
    <xf numFmtId="0" fontId="13" fillId="0" borderId="0" xfId="0" applyFont="1" applyAlignment="1">
      <alignment/>
    </xf>
    <xf numFmtId="0" fontId="6" fillId="0" borderId="0" xfId="0" applyFont="1" applyAlignment="1">
      <alignment/>
    </xf>
    <xf numFmtId="189" fontId="6" fillId="0" borderId="0" xfId="42" applyNumberFormat="1" applyFont="1" applyAlignment="1">
      <alignment/>
    </xf>
    <xf numFmtId="0" fontId="6" fillId="0" borderId="0" xfId="0" applyFont="1" applyAlignment="1">
      <alignment horizontal="left"/>
    </xf>
    <xf numFmtId="189" fontId="14" fillId="0" borderId="0" xfId="42" applyNumberFormat="1" applyFont="1" applyAlignment="1">
      <alignment/>
    </xf>
    <xf numFmtId="189" fontId="6" fillId="0" borderId="16" xfId="42" applyNumberFormat="1" applyFont="1" applyBorder="1" applyAlignment="1">
      <alignment/>
    </xf>
    <xf numFmtId="0" fontId="0" fillId="0" borderId="0" xfId="0" applyFont="1" applyAlignment="1" quotePrefix="1">
      <alignment/>
    </xf>
    <xf numFmtId="0" fontId="15" fillId="0" borderId="0" xfId="0" applyFont="1" applyAlignment="1">
      <alignment horizontal="left"/>
    </xf>
    <xf numFmtId="189" fontId="16" fillId="0" borderId="0" xfId="42" applyNumberFormat="1" applyFont="1" applyAlignment="1">
      <alignment horizontal="center"/>
    </xf>
    <xf numFmtId="0" fontId="2" fillId="0" borderId="14" xfId="0" applyFont="1" applyBorder="1" applyAlignment="1">
      <alignment/>
    </xf>
    <xf numFmtId="0" fontId="6" fillId="0" borderId="14" xfId="0" applyFont="1" applyBorder="1" applyAlignment="1">
      <alignment/>
    </xf>
    <xf numFmtId="0" fontId="0" fillId="0" borderId="14" xfId="0" applyFont="1" applyBorder="1" applyAlignment="1">
      <alignment/>
    </xf>
    <xf numFmtId="189" fontId="0" fillId="0" borderId="0" xfId="0" applyNumberFormat="1" applyFont="1" applyAlignment="1">
      <alignment/>
    </xf>
    <xf numFmtId="189" fontId="0" fillId="0" borderId="14" xfId="0" applyNumberFormat="1" applyFont="1" applyBorder="1" applyAlignment="1">
      <alignment/>
    </xf>
    <xf numFmtId="43" fontId="0" fillId="0" borderId="0" xfId="0" applyNumberFormat="1" applyFont="1" applyAlignment="1">
      <alignment/>
    </xf>
    <xf numFmtId="0" fontId="2" fillId="0" borderId="0" xfId="0" applyFont="1" applyAlignment="1">
      <alignment horizontal="center"/>
    </xf>
    <xf numFmtId="0" fontId="17" fillId="0" borderId="0" xfId="0" applyFont="1" applyAlignment="1">
      <alignment/>
    </xf>
    <xf numFmtId="189" fontId="17" fillId="0" borderId="0" xfId="42" applyNumberFormat="1" applyFont="1" applyAlignment="1">
      <alignment/>
    </xf>
    <xf numFmtId="189" fontId="7" fillId="0" borderId="0" xfId="42" applyNumberFormat="1" applyFont="1" applyFill="1" applyAlignment="1" quotePrefix="1">
      <alignment/>
    </xf>
    <xf numFmtId="43" fontId="10" fillId="0" borderId="11" xfId="42" applyFont="1" applyBorder="1" applyAlignment="1">
      <alignment/>
    </xf>
    <xf numFmtId="43" fontId="10" fillId="0" borderId="11" xfId="42" applyFont="1" applyBorder="1" applyAlignment="1">
      <alignment horizontal="center"/>
    </xf>
    <xf numFmtId="189" fontId="10" fillId="0" borderId="12" xfId="0" applyNumberFormat="1" applyFont="1" applyBorder="1" applyAlignment="1">
      <alignment horizontal="center"/>
    </xf>
    <xf numFmtId="43" fontId="10" fillId="0" borderId="10" xfId="0" applyNumberFormat="1" applyFont="1" applyBorder="1" applyAlignment="1">
      <alignment/>
    </xf>
    <xf numFmtId="43" fontId="10" fillId="0" borderId="12" xfId="42" applyFont="1" applyBorder="1" applyAlignment="1">
      <alignment/>
    </xf>
    <xf numFmtId="43" fontId="10" fillId="0" borderId="17" xfId="0" applyNumberFormat="1" applyFont="1" applyBorder="1" applyAlignment="1">
      <alignment/>
    </xf>
    <xf numFmtId="43" fontId="0" fillId="0" borderId="0" xfId="42" applyNumberFormat="1" applyFont="1" applyAlignment="1">
      <alignment/>
    </xf>
    <xf numFmtId="189" fontId="2" fillId="0" borderId="0" xfId="42" applyNumberFormat="1" applyFont="1" applyAlignment="1" quotePrefix="1">
      <alignment horizontal="center"/>
    </xf>
    <xf numFmtId="189" fontId="0" fillId="0" borderId="0" xfId="42" applyNumberFormat="1" applyFont="1" applyAlignment="1">
      <alignment horizontal="right"/>
    </xf>
    <xf numFmtId="189" fontId="2" fillId="0" borderId="0" xfId="42" applyNumberFormat="1" applyFont="1" applyAlignment="1">
      <alignment/>
    </xf>
    <xf numFmtId="189" fontId="0" fillId="0" borderId="0" xfId="42" applyNumberFormat="1" applyFont="1" applyAlignment="1">
      <alignment horizontal="right"/>
    </xf>
    <xf numFmtId="0" fontId="0" fillId="0" borderId="0" xfId="58" applyFont="1">
      <alignment/>
      <protection/>
    </xf>
    <xf numFmtId="0" fontId="2" fillId="0" borderId="0" xfId="57" applyFont="1" applyFill="1" applyAlignment="1">
      <alignment horizontal="center" vertical="top"/>
      <protection/>
    </xf>
    <xf numFmtId="0" fontId="0" fillId="0" borderId="0" xfId="57" applyFont="1" applyFill="1" applyAlignment="1">
      <alignment horizontal="left" vertical="top"/>
      <protection/>
    </xf>
    <xf numFmtId="0" fontId="2" fillId="0" borderId="0" xfId="57" applyFont="1" applyFill="1" applyAlignment="1">
      <alignment vertical="center"/>
      <protection/>
    </xf>
    <xf numFmtId="0" fontId="0" fillId="0" borderId="0" xfId="57"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89" fontId="0" fillId="0" borderId="0" xfId="42" applyNumberFormat="1" applyFont="1" applyFill="1" applyAlignment="1">
      <alignment/>
    </xf>
    <xf numFmtId="189" fontId="0" fillId="0" borderId="14" xfId="42" applyNumberFormat="1" applyFont="1" applyFill="1" applyBorder="1" applyAlignment="1">
      <alignment/>
    </xf>
    <xf numFmtId="0" fontId="0" fillId="0" borderId="0" xfId="57" applyFont="1" applyFill="1" applyAlignment="1">
      <alignment horizontal="left" vertical="center"/>
      <protection/>
    </xf>
    <xf numFmtId="189" fontId="0" fillId="0" borderId="0" xfId="42" applyNumberFormat="1" applyFont="1" applyFill="1" applyBorder="1" applyAlignment="1">
      <alignment/>
    </xf>
    <xf numFmtId="189" fontId="0" fillId="0" borderId="13" xfId="0" applyNumberFormat="1" applyFont="1" applyBorder="1" applyAlignment="1">
      <alignment/>
    </xf>
    <xf numFmtId="0" fontId="10" fillId="0" borderId="0" xfId="0" applyFont="1" applyAlignment="1">
      <alignment/>
    </xf>
    <xf numFmtId="189" fontId="0" fillId="0" borderId="0" xfId="42" applyNumberFormat="1" applyFont="1" applyFill="1" applyAlignment="1">
      <alignment/>
    </xf>
    <xf numFmtId="189" fontId="3" fillId="0" borderId="0" xfId="42" applyNumberFormat="1" applyFont="1" applyFill="1" applyAlignment="1">
      <alignment horizontal="center"/>
    </xf>
    <xf numFmtId="43" fontId="0" fillId="0" borderId="14" xfId="42" applyFont="1" applyBorder="1" applyAlignment="1">
      <alignment/>
    </xf>
    <xf numFmtId="189" fontId="6" fillId="0" borderId="0" xfId="42" applyNumberFormat="1" applyFont="1" applyFill="1" applyAlignment="1">
      <alignment/>
    </xf>
    <xf numFmtId="189" fontId="0" fillId="0" borderId="0" xfId="42" applyNumberFormat="1" applyFont="1" applyFill="1" applyBorder="1" applyAlignment="1">
      <alignment/>
    </xf>
    <xf numFmtId="189" fontId="0" fillId="0" borderId="14" xfId="42" applyNumberFormat="1" applyFont="1" applyFill="1" applyBorder="1" applyAlignment="1">
      <alignment/>
    </xf>
    <xf numFmtId="189" fontId="0" fillId="0" borderId="0" xfId="42" applyNumberFormat="1" applyFont="1" applyFill="1" applyAlignment="1">
      <alignment/>
    </xf>
    <xf numFmtId="189" fontId="6" fillId="0" borderId="0" xfId="42" applyNumberFormat="1" applyFont="1" applyFill="1" applyAlignment="1">
      <alignment/>
    </xf>
    <xf numFmtId="189" fontId="6" fillId="0" borderId="16" xfId="42" applyNumberFormat="1" applyFont="1" applyFill="1" applyBorder="1" applyAlignment="1">
      <alignment/>
    </xf>
    <xf numFmtId="189" fontId="17" fillId="0" borderId="0" xfId="42" applyNumberFormat="1" applyFont="1" applyFill="1" applyAlignment="1">
      <alignment/>
    </xf>
    <xf numFmtId="189" fontId="0" fillId="0" borderId="14" xfId="42" applyNumberFormat="1" applyFont="1" applyBorder="1" applyAlignment="1">
      <alignment/>
    </xf>
    <xf numFmtId="43" fontId="6" fillId="0" borderId="0" xfId="0" applyNumberFormat="1" applyFont="1" applyAlignment="1">
      <alignment/>
    </xf>
    <xf numFmtId="189" fontId="0" fillId="24" borderId="14" xfId="42" applyNumberFormat="1" applyFont="1" applyFill="1" applyBorder="1" applyAlignment="1">
      <alignment/>
    </xf>
    <xf numFmtId="189" fontId="0" fillId="24" borderId="14" xfId="42" applyNumberFormat="1" applyFont="1" applyFill="1" applyBorder="1" applyAlignment="1">
      <alignment/>
    </xf>
    <xf numFmtId="9" fontId="0" fillId="0" borderId="0" xfId="61" applyFont="1" applyAlignment="1">
      <alignment/>
    </xf>
    <xf numFmtId="0" fontId="0" fillId="0" borderId="0" xfId="0" applyFont="1" applyAlignment="1">
      <alignment horizontal="right"/>
    </xf>
    <xf numFmtId="189" fontId="0" fillId="0" borderId="0" xfId="42" applyNumberFormat="1" applyFont="1" applyBorder="1" applyAlignment="1">
      <alignment horizontal="center"/>
    </xf>
    <xf numFmtId="10" fontId="0" fillId="0" borderId="0" xfId="61" applyNumberFormat="1" applyFont="1" applyAlignment="1">
      <alignment/>
    </xf>
    <xf numFmtId="0" fontId="10" fillId="0" borderId="0" xfId="0" applyFont="1" applyFill="1" applyAlignment="1">
      <alignment/>
    </xf>
    <xf numFmtId="189" fontId="6" fillId="0" borderId="0" xfId="42" applyNumberFormat="1" applyFont="1" applyFill="1" applyBorder="1" applyAlignment="1">
      <alignment/>
    </xf>
    <xf numFmtId="189" fontId="17" fillId="0" borderId="0" xfId="42" applyNumberFormat="1" applyFont="1" applyFill="1" applyBorder="1" applyAlignment="1">
      <alignment/>
    </xf>
    <xf numFmtId="43" fontId="0" fillId="0" borderId="18" xfId="42" applyFont="1" applyBorder="1" applyAlignment="1">
      <alignment/>
    </xf>
    <xf numFmtId="0" fontId="0" fillId="0" borderId="19" xfId="0" applyBorder="1" applyAlignment="1">
      <alignment/>
    </xf>
    <xf numFmtId="43" fontId="3" fillId="0" borderId="20" xfId="42" applyFont="1" applyBorder="1" applyAlignment="1">
      <alignment horizontal="center"/>
    </xf>
    <xf numFmtId="43" fontId="3" fillId="0" borderId="21" xfId="42" applyFont="1" applyBorder="1" applyAlignment="1">
      <alignment horizontal="center"/>
    </xf>
    <xf numFmtId="43" fontId="3" fillId="0" borderId="22" xfId="42" applyFont="1" applyBorder="1" applyAlignment="1">
      <alignment horizontal="center"/>
    </xf>
    <xf numFmtId="43" fontId="3" fillId="0" borderId="19" xfId="42" applyFont="1" applyBorder="1" applyAlignment="1">
      <alignment horizontal="center"/>
    </xf>
    <xf numFmtId="0" fontId="0" fillId="0" borderId="21" xfId="0" applyBorder="1" applyAlignment="1">
      <alignment/>
    </xf>
    <xf numFmtId="43" fontId="0" fillId="0" borderId="23" xfId="42" applyFont="1" applyBorder="1" applyAlignment="1">
      <alignment/>
    </xf>
    <xf numFmtId="43" fontId="0" fillId="0" borderId="24" xfId="42" applyFont="1" applyBorder="1" applyAlignment="1">
      <alignment/>
    </xf>
    <xf numFmtId="43" fontId="0" fillId="0" borderId="25" xfId="42" applyFont="1" applyBorder="1" applyAlignment="1">
      <alignment/>
    </xf>
    <xf numFmtId="189" fontId="0" fillId="0" borderId="0" xfId="42" applyNumberFormat="1" applyFont="1" applyFill="1" applyAlignment="1">
      <alignment horizontal="center"/>
    </xf>
    <xf numFmtId="49" fontId="0" fillId="0" borderId="0" xfId="42" applyNumberFormat="1" applyFont="1" applyAlignment="1">
      <alignment horizontal="center"/>
    </xf>
    <xf numFmtId="0" fontId="0" fillId="0" borderId="0" xfId="0" applyFont="1" applyFill="1" applyBorder="1" applyAlignment="1">
      <alignment/>
    </xf>
    <xf numFmtId="189" fontId="0" fillId="0" borderId="0" xfId="42" applyNumberFormat="1" applyAlignment="1">
      <alignment/>
    </xf>
    <xf numFmtId="189" fontId="0" fillId="0" borderId="0" xfId="42" applyNumberFormat="1" applyFont="1" applyAlignment="1">
      <alignment/>
    </xf>
    <xf numFmtId="189" fontId="0" fillId="0" borderId="0" xfId="42" applyNumberFormat="1" applyBorder="1" applyAlignment="1">
      <alignment/>
    </xf>
    <xf numFmtId="189" fontId="0" fillId="0" borderId="14" xfId="42" applyNumberFormat="1" applyBorder="1" applyAlignment="1">
      <alignment/>
    </xf>
    <xf numFmtId="189" fontId="0" fillId="0" borderId="16" xfId="42" applyNumberFormat="1" applyBorder="1" applyAlignment="1">
      <alignment/>
    </xf>
    <xf numFmtId="189" fontId="0" fillId="0" borderId="13" xfId="42" applyNumberFormat="1" applyBorder="1" applyAlignment="1">
      <alignment/>
    </xf>
    <xf numFmtId="1" fontId="0" fillId="0" borderId="0" xfId="42" applyNumberFormat="1" applyAlignment="1">
      <alignment/>
    </xf>
    <xf numFmtId="1" fontId="0" fillId="0" borderId="0" xfId="42" applyNumberFormat="1" applyFont="1" applyAlignment="1">
      <alignment/>
    </xf>
    <xf numFmtId="189" fontId="4" fillId="0" borderId="0" xfId="0" applyNumberFormat="1" applyFont="1" applyAlignment="1">
      <alignment/>
    </xf>
    <xf numFmtId="189" fontId="21" fillId="0" borderId="0" xfId="0" applyNumberFormat="1" applyFont="1" applyAlignment="1" quotePrefix="1">
      <alignment horizontal="left"/>
    </xf>
    <xf numFmtId="189" fontId="22" fillId="0" borderId="0" xfId="0" applyNumberFormat="1" applyFont="1" applyAlignment="1">
      <alignment/>
    </xf>
    <xf numFmtId="189" fontId="22" fillId="0" borderId="0" xfId="42" applyNumberFormat="1" applyFont="1" applyAlignment="1">
      <alignment horizontal="right"/>
    </xf>
    <xf numFmtId="189" fontId="22" fillId="0" borderId="0" xfId="42" applyNumberFormat="1" applyFont="1" applyAlignment="1">
      <alignment horizontal="center"/>
    </xf>
    <xf numFmtId="189" fontId="22" fillId="0" borderId="0" xfId="42" applyNumberFormat="1" applyFont="1" applyAlignment="1">
      <alignment horizontal="left"/>
    </xf>
    <xf numFmtId="189" fontId="22" fillId="0" borderId="0" xfId="42" applyNumberFormat="1" applyFont="1" applyAlignment="1">
      <alignment/>
    </xf>
    <xf numFmtId="189" fontId="22" fillId="0" borderId="0" xfId="42" applyNumberFormat="1" applyFont="1" applyFill="1" applyAlignment="1">
      <alignment horizontal="left"/>
    </xf>
    <xf numFmtId="189" fontId="22" fillId="0" borderId="0" xfId="0" applyNumberFormat="1" applyFont="1" applyAlignment="1">
      <alignment horizontal="left"/>
    </xf>
    <xf numFmtId="189" fontId="4" fillId="0" borderId="0" xfId="0" applyNumberFormat="1" applyFont="1" applyAlignment="1">
      <alignment horizontal="left"/>
    </xf>
    <xf numFmtId="189" fontId="22" fillId="0" borderId="0" xfId="0" applyNumberFormat="1" applyFont="1" applyBorder="1" applyAlignment="1">
      <alignment horizontal="center"/>
    </xf>
    <xf numFmtId="189" fontId="22" fillId="0" borderId="0" xfId="42" applyNumberFormat="1" applyFont="1" applyBorder="1" applyAlignment="1">
      <alignment horizontal="right"/>
    </xf>
    <xf numFmtId="189" fontId="22" fillId="0" borderId="0" xfId="42" applyNumberFormat="1" applyFont="1" applyBorder="1" applyAlignment="1">
      <alignment horizontal="center"/>
    </xf>
    <xf numFmtId="189" fontId="22" fillId="0" borderId="0" xfId="42" applyNumberFormat="1" applyFont="1" applyFill="1" applyBorder="1" applyAlignment="1">
      <alignment horizontal="center"/>
    </xf>
    <xf numFmtId="189" fontId="22" fillId="0" borderId="0" xfId="0" applyNumberFormat="1" applyFont="1" applyBorder="1" applyAlignment="1">
      <alignment/>
    </xf>
    <xf numFmtId="189" fontId="22" fillId="0" borderId="0" xfId="42" applyNumberFormat="1" applyFont="1" applyBorder="1" applyAlignment="1">
      <alignment/>
    </xf>
    <xf numFmtId="0" fontId="22" fillId="0" borderId="0" xfId="42" applyNumberFormat="1" applyFont="1" applyBorder="1" applyAlignment="1">
      <alignment horizontal="center"/>
    </xf>
    <xf numFmtId="189" fontId="22" fillId="0" borderId="0" xfId="0" applyNumberFormat="1" applyFont="1" applyBorder="1" applyAlignment="1">
      <alignment horizontal="left"/>
    </xf>
    <xf numFmtId="1" fontId="22" fillId="0" borderId="0" xfId="42" applyNumberFormat="1" applyFont="1" applyBorder="1" applyAlignment="1">
      <alignment horizontal="center"/>
    </xf>
    <xf numFmtId="189" fontId="22" fillId="0" borderId="0" xfId="42" applyNumberFormat="1" applyFont="1" applyBorder="1" applyAlignment="1">
      <alignment/>
    </xf>
    <xf numFmtId="189" fontId="22" fillId="0" borderId="0" xfId="42" applyNumberFormat="1" applyFont="1" applyFill="1" applyBorder="1" applyAlignment="1">
      <alignment horizontal="right"/>
    </xf>
    <xf numFmtId="189" fontId="22" fillId="0" borderId="0" xfId="0" applyNumberFormat="1" applyFont="1" applyAlignment="1">
      <alignment horizontal="right"/>
    </xf>
    <xf numFmtId="189" fontId="22" fillId="0" borderId="0" xfId="42" applyNumberFormat="1" applyFont="1" applyAlignment="1" quotePrefix="1">
      <alignment horizontal="center"/>
    </xf>
    <xf numFmtId="189" fontId="24" fillId="0" borderId="0" xfId="0" applyNumberFormat="1" applyFont="1" applyAlignment="1">
      <alignment horizontal="left"/>
    </xf>
    <xf numFmtId="189" fontId="22" fillId="0" borderId="0" xfId="42" applyNumberFormat="1" applyFont="1" applyAlignment="1">
      <alignment/>
    </xf>
    <xf numFmtId="189" fontId="22" fillId="0" borderId="26" xfId="42" applyNumberFormat="1" applyFont="1" applyBorder="1" applyAlignment="1">
      <alignment horizontal="right"/>
    </xf>
    <xf numFmtId="189" fontId="4" fillId="0" borderId="27" xfId="42" applyNumberFormat="1" applyFont="1" applyBorder="1" applyAlignment="1">
      <alignment horizontal="right"/>
    </xf>
    <xf numFmtId="189" fontId="4" fillId="0" borderId="0" xfId="42" applyNumberFormat="1" applyFont="1" applyBorder="1" applyAlignment="1">
      <alignment horizontal="right"/>
    </xf>
    <xf numFmtId="189" fontId="22" fillId="0" borderId="0" xfId="0" applyNumberFormat="1" applyFont="1" applyAlignment="1" quotePrefix="1">
      <alignment horizontal="left"/>
    </xf>
    <xf numFmtId="189" fontId="22" fillId="0" borderId="13" xfId="42" applyNumberFormat="1" applyFont="1" applyBorder="1" applyAlignment="1">
      <alignment horizontal="right"/>
    </xf>
    <xf numFmtId="189" fontId="22" fillId="0" borderId="0" xfId="42" applyNumberFormat="1" applyFont="1" applyFill="1" applyAlignment="1">
      <alignment/>
    </xf>
    <xf numFmtId="189" fontId="22" fillId="0" borderId="28" xfId="0" applyNumberFormat="1" applyFont="1" applyBorder="1" applyAlignment="1">
      <alignment horizontal="left"/>
    </xf>
    <xf numFmtId="189" fontId="22" fillId="0" borderId="26" xfId="0" applyNumberFormat="1" applyFont="1" applyBorder="1" applyAlignment="1">
      <alignment/>
    </xf>
    <xf numFmtId="189" fontId="22" fillId="0" borderId="26" xfId="0" applyNumberFormat="1" applyFont="1" applyBorder="1" applyAlignment="1">
      <alignment horizontal="left"/>
    </xf>
    <xf numFmtId="0" fontId="22" fillId="0" borderId="26" xfId="42" applyNumberFormat="1" applyFont="1" applyBorder="1" applyAlignment="1">
      <alignment horizontal="center"/>
    </xf>
    <xf numFmtId="189" fontId="22" fillId="0" borderId="29" xfId="0" applyNumberFormat="1" applyFont="1" applyBorder="1" applyAlignment="1">
      <alignment horizontal="left"/>
    </xf>
    <xf numFmtId="189" fontId="4" fillId="0" borderId="0" xfId="42" applyNumberFormat="1" applyFont="1" applyBorder="1" applyAlignment="1">
      <alignment horizontal="center"/>
    </xf>
    <xf numFmtId="189" fontId="25" fillId="0" borderId="0" xfId="42" applyNumberFormat="1" applyFont="1" applyBorder="1" applyAlignment="1">
      <alignment horizontal="right"/>
    </xf>
    <xf numFmtId="189" fontId="22" fillId="0" borderId="0" xfId="42" applyNumberFormat="1" applyFont="1" applyFill="1" applyAlignment="1">
      <alignment/>
    </xf>
    <xf numFmtId="189" fontId="22" fillId="0" borderId="14" xfId="42" applyNumberFormat="1" applyFont="1" applyBorder="1" applyAlignment="1">
      <alignment horizontal="right"/>
    </xf>
    <xf numFmtId="189" fontId="26" fillId="0" borderId="0" xfId="42" applyNumberFormat="1" applyFont="1" applyFill="1" applyAlignment="1">
      <alignment horizontal="right"/>
    </xf>
    <xf numFmtId="189" fontId="26" fillId="0" borderId="0" xfId="42" applyNumberFormat="1" applyFont="1" applyFill="1" applyAlignment="1">
      <alignment horizontal="left"/>
    </xf>
    <xf numFmtId="189" fontId="22" fillId="0" borderId="0" xfId="0" applyNumberFormat="1" applyFont="1" applyBorder="1" applyAlignment="1" quotePrefix="1">
      <alignment horizontal="left"/>
    </xf>
    <xf numFmtId="189" fontId="22" fillId="0" borderId="16" xfId="42" applyNumberFormat="1" applyFont="1" applyBorder="1" applyAlignment="1">
      <alignment horizontal="right"/>
    </xf>
    <xf numFmtId="189" fontId="22" fillId="0" borderId="13" xfId="42" applyNumberFormat="1" applyFont="1" applyBorder="1" applyAlignment="1">
      <alignment horizontal="center"/>
    </xf>
    <xf numFmtId="189" fontId="22" fillId="0" borderId="30" xfId="0" applyNumberFormat="1" applyFont="1" applyBorder="1" applyAlignment="1">
      <alignment horizontal="left"/>
    </xf>
    <xf numFmtId="189" fontId="22" fillId="0" borderId="14" xfId="0" applyNumberFormat="1" applyFont="1" applyBorder="1" applyAlignment="1">
      <alignment horizontal="left"/>
    </xf>
    <xf numFmtId="189" fontId="26" fillId="0" borderId="0" xfId="42" applyNumberFormat="1" applyFont="1" applyFill="1" applyAlignment="1">
      <alignment/>
    </xf>
    <xf numFmtId="189" fontId="26" fillId="0" borderId="0" xfId="42" applyNumberFormat="1" applyFont="1" applyFill="1" applyBorder="1" applyAlignment="1">
      <alignment/>
    </xf>
    <xf numFmtId="189" fontId="5" fillId="0" borderId="0" xfId="42" applyNumberFormat="1" applyFont="1" applyAlignment="1">
      <alignment horizontal="left"/>
    </xf>
    <xf numFmtId="189" fontId="11" fillId="0" borderId="0" xfId="42" applyNumberFormat="1" applyFont="1" applyAlignment="1">
      <alignment/>
    </xf>
    <xf numFmtId="189" fontId="11" fillId="0" borderId="0" xfId="42" applyNumberFormat="1" applyFont="1" applyBorder="1" applyAlignment="1">
      <alignment/>
    </xf>
    <xf numFmtId="189" fontId="11" fillId="0" borderId="0" xfId="42" applyNumberFormat="1" applyFont="1" applyFill="1" applyAlignment="1">
      <alignment/>
    </xf>
    <xf numFmtId="189" fontId="5" fillId="0" borderId="0" xfId="42" applyNumberFormat="1" applyFont="1" applyAlignment="1">
      <alignment horizontal="center"/>
    </xf>
    <xf numFmtId="189" fontId="5" fillId="0" borderId="0" xfId="42" applyNumberFormat="1" applyFont="1" applyBorder="1" applyAlignment="1">
      <alignment horizontal="center"/>
    </xf>
    <xf numFmtId="189" fontId="5" fillId="0" borderId="0" xfId="42" applyNumberFormat="1" applyFont="1" applyAlignment="1">
      <alignment/>
    </xf>
    <xf numFmtId="189" fontId="27" fillId="0" borderId="0" xfId="42" applyNumberFormat="1" applyFont="1" applyAlignment="1">
      <alignment horizontal="center"/>
    </xf>
    <xf numFmtId="189" fontId="5" fillId="0" borderId="0" xfId="42" applyNumberFormat="1" applyFont="1" applyFill="1" applyBorder="1" applyAlignment="1">
      <alignment horizontal="center"/>
    </xf>
    <xf numFmtId="189" fontId="5" fillId="0" borderId="0" xfId="42" applyNumberFormat="1" applyFont="1" applyFill="1" applyAlignment="1">
      <alignment horizontal="center"/>
    </xf>
    <xf numFmtId="189" fontId="5" fillId="22" borderId="20" xfId="42" applyNumberFormat="1" applyFont="1" applyFill="1" applyBorder="1" applyAlignment="1">
      <alignment horizontal="center"/>
    </xf>
    <xf numFmtId="189" fontId="11" fillId="0" borderId="0" xfId="42" applyNumberFormat="1" applyFont="1" applyBorder="1" applyAlignment="1">
      <alignment horizontal="center"/>
    </xf>
    <xf numFmtId="189" fontId="11" fillId="0" borderId="0" xfId="42" applyNumberFormat="1" applyFont="1" applyAlignment="1">
      <alignment horizontal="center"/>
    </xf>
    <xf numFmtId="189" fontId="11" fillId="0" borderId="0" xfId="42" applyNumberFormat="1" applyFont="1" applyFill="1" applyAlignment="1">
      <alignment horizontal="center"/>
    </xf>
    <xf numFmtId="189" fontId="5" fillId="22" borderId="23" xfId="42" applyNumberFormat="1" applyFont="1" applyFill="1" applyBorder="1" applyAlignment="1">
      <alignment horizontal="center"/>
    </xf>
    <xf numFmtId="189" fontId="28" fillId="0" borderId="0" xfId="42" applyNumberFormat="1" applyFont="1" applyAlignment="1">
      <alignment/>
    </xf>
    <xf numFmtId="189" fontId="5" fillId="0" borderId="0" xfId="42" applyNumberFormat="1" applyFont="1" applyBorder="1" applyAlignment="1">
      <alignment/>
    </xf>
    <xf numFmtId="189" fontId="5" fillId="22" borderId="23" xfId="42" applyNumberFormat="1" applyFont="1" applyFill="1" applyBorder="1" applyAlignment="1">
      <alignment/>
    </xf>
    <xf numFmtId="189" fontId="11" fillId="0" borderId="0" xfId="42" applyNumberFormat="1" applyFont="1" applyFill="1" applyBorder="1" applyAlignment="1">
      <alignment/>
    </xf>
    <xf numFmtId="189" fontId="5" fillId="22" borderId="23" xfId="42" applyNumberFormat="1" applyFont="1" applyFill="1" applyBorder="1" applyAlignment="1">
      <alignment horizontal="right"/>
    </xf>
    <xf numFmtId="189" fontId="11" fillId="0" borderId="0" xfId="42" applyNumberFormat="1" applyFont="1" applyBorder="1" applyAlignment="1">
      <alignment horizontal="right"/>
    </xf>
    <xf numFmtId="189" fontId="11" fillId="0" borderId="14" xfId="42" applyNumberFormat="1" applyFont="1" applyFill="1" applyBorder="1" applyAlignment="1">
      <alignment/>
    </xf>
    <xf numFmtId="189" fontId="11" fillId="0" borderId="26" xfId="42" applyNumberFormat="1" applyFont="1" applyBorder="1" applyAlignment="1">
      <alignment/>
    </xf>
    <xf numFmtId="189" fontId="11" fillId="0" borderId="0" xfId="42" applyNumberFormat="1" applyFont="1" applyFill="1" applyBorder="1" applyAlignment="1">
      <alignment horizontal="right"/>
    </xf>
    <xf numFmtId="189" fontId="5" fillId="22" borderId="31" xfId="42" applyNumberFormat="1" applyFont="1" applyFill="1" applyBorder="1" applyAlignment="1">
      <alignment horizontal="right"/>
    </xf>
    <xf numFmtId="189" fontId="11" fillId="0" borderId="14" xfId="42" applyNumberFormat="1" applyFont="1" applyBorder="1" applyAlignment="1">
      <alignment/>
    </xf>
    <xf numFmtId="189" fontId="11" fillId="0" borderId="14" xfId="42" applyNumberFormat="1" applyFont="1" applyFill="1" applyBorder="1" applyAlignment="1">
      <alignment horizontal="right"/>
    </xf>
    <xf numFmtId="189" fontId="5" fillId="22" borderId="32" xfId="0" applyNumberFormat="1" applyFont="1" applyFill="1" applyBorder="1" applyAlignment="1">
      <alignment/>
    </xf>
    <xf numFmtId="0" fontId="2" fillId="22" borderId="31" xfId="0" applyFont="1" applyFill="1" applyBorder="1" applyAlignment="1">
      <alignment/>
    </xf>
    <xf numFmtId="189" fontId="11" fillId="0" borderId="14" xfId="0" applyNumberFormat="1" applyFont="1" applyBorder="1" applyAlignment="1">
      <alignment/>
    </xf>
    <xf numFmtId="0" fontId="11" fillId="0" borderId="0" xfId="0" applyFont="1" applyBorder="1" applyAlignment="1">
      <alignment/>
    </xf>
    <xf numFmtId="0" fontId="2" fillId="22" borderId="23" xfId="0" applyFont="1" applyFill="1" applyBorder="1" applyAlignment="1">
      <alignment/>
    </xf>
    <xf numFmtId="0" fontId="11" fillId="0" borderId="0" xfId="42" applyNumberFormat="1" applyFont="1" applyAlignment="1" quotePrefix="1">
      <alignment horizontal="left"/>
    </xf>
    <xf numFmtId="189" fontId="11" fillId="0" borderId="16" xfId="42" applyNumberFormat="1" applyFont="1" applyBorder="1" applyAlignment="1">
      <alignment/>
    </xf>
    <xf numFmtId="189" fontId="11" fillId="0" borderId="16" xfId="42" applyNumberFormat="1" applyFont="1" applyFill="1" applyBorder="1" applyAlignment="1">
      <alignment/>
    </xf>
    <xf numFmtId="189" fontId="5" fillId="22" borderId="33" xfId="42" applyNumberFormat="1" applyFont="1" applyFill="1" applyBorder="1" applyAlignment="1">
      <alignment horizontal="right"/>
    </xf>
    <xf numFmtId="0" fontId="11" fillId="0" borderId="0" xfId="42" applyNumberFormat="1" applyFont="1" applyAlignment="1">
      <alignment/>
    </xf>
    <xf numFmtId="0" fontId="11" fillId="0" borderId="0" xfId="0" applyFont="1" applyAlignment="1">
      <alignment/>
    </xf>
    <xf numFmtId="0" fontId="2" fillId="22" borderId="21" xfId="0" applyFont="1" applyFill="1" applyBorder="1" applyAlignment="1">
      <alignment/>
    </xf>
    <xf numFmtId="189" fontId="5" fillId="0" borderId="0" xfId="42" applyNumberFormat="1" applyFont="1" applyFill="1" applyAlignment="1">
      <alignment/>
    </xf>
    <xf numFmtId="189" fontId="5" fillId="22" borderId="20" xfId="42" applyNumberFormat="1" applyFont="1" applyFill="1" applyBorder="1" applyAlignment="1">
      <alignment/>
    </xf>
    <xf numFmtId="189" fontId="28" fillId="0" borderId="0" xfId="42" applyNumberFormat="1" applyFont="1" applyFill="1" applyBorder="1" applyAlignment="1">
      <alignment horizontal="center"/>
    </xf>
    <xf numFmtId="189" fontId="11" fillId="7" borderId="14" xfId="42" applyNumberFormat="1" applyFont="1" applyFill="1" applyBorder="1" applyAlignment="1">
      <alignment/>
    </xf>
    <xf numFmtId="189" fontId="28" fillId="0" borderId="0" xfId="0" applyNumberFormat="1" applyFont="1" applyBorder="1" applyAlignment="1">
      <alignment horizontal="center"/>
    </xf>
    <xf numFmtId="189" fontId="28" fillId="0" borderId="0" xfId="42" applyNumberFormat="1" applyFont="1" applyBorder="1" applyAlignment="1">
      <alignment horizontal="center"/>
    </xf>
    <xf numFmtId="189" fontId="5" fillId="22" borderId="32" xfId="42" applyNumberFormat="1" applyFont="1" applyFill="1" applyBorder="1" applyAlignment="1">
      <alignment horizontal="right"/>
    </xf>
    <xf numFmtId="189" fontId="27" fillId="22" borderId="23" xfId="42" applyNumberFormat="1" applyFont="1" applyFill="1" applyBorder="1" applyAlignment="1">
      <alignment horizontal="right"/>
    </xf>
    <xf numFmtId="189" fontId="0" fillId="0" borderId="0" xfId="0" applyNumberFormat="1" applyBorder="1" applyAlignment="1">
      <alignment/>
    </xf>
    <xf numFmtId="0" fontId="29" fillId="0" borderId="0" xfId="42" applyNumberFormat="1" applyFont="1" applyAlignment="1">
      <alignment/>
    </xf>
    <xf numFmtId="0" fontId="30" fillId="0" borderId="0" xfId="0" applyFont="1" applyAlignment="1">
      <alignment horizontal="center"/>
    </xf>
    <xf numFmtId="189" fontId="29" fillId="0" borderId="0" xfId="42" applyNumberFormat="1" applyFont="1" applyBorder="1" applyAlignment="1">
      <alignment/>
    </xf>
    <xf numFmtId="0" fontId="29" fillId="0" borderId="0" xfId="0" applyFont="1" applyBorder="1" applyAlignment="1">
      <alignment/>
    </xf>
    <xf numFmtId="0" fontId="30" fillId="0" borderId="0" xfId="0" applyFont="1" applyBorder="1" applyAlignment="1">
      <alignment/>
    </xf>
    <xf numFmtId="0" fontId="30" fillId="0" borderId="0" xfId="0" applyFont="1" applyAlignment="1">
      <alignment/>
    </xf>
    <xf numFmtId="189" fontId="30" fillId="0" borderId="0" xfId="0" applyNumberFormat="1" applyFont="1" applyBorder="1" applyAlignment="1">
      <alignment/>
    </xf>
    <xf numFmtId="0" fontId="29" fillId="0" borderId="0" xfId="0" applyFont="1" applyAlignment="1">
      <alignment/>
    </xf>
    <xf numFmtId="0" fontId="31" fillId="22" borderId="23" xfId="0" applyFont="1" applyFill="1" applyBorder="1" applyAlignment="1">
      <alignment/>
    </xf>
    <xf numFmtId="0" fontId="2" fillId="0" borderId="0" xfId="0" applyFont="1" applyFill="1" applyBorder="1" applyAlignment="1">
      <alignment/>
    </xf>
    <xf numFmtId="189" fontId="2" fillId="0" borderId="0" xfId="42" applyNumberFormat="1" applyFont="1" applyAlignment="1">
      <alignment horizontal="left"/>
    </xf>
    <xf numFmtId="189" fontId="0" fillId="0" borderId="0" xfId="42" applyNumberFormat="1" applyFill="1" applyAlignment="1">
      <alignment/>
    </xf>
    <xf numFmtId="189" fontId="2" fillId="0" borderId="0" xfId="42" applyNumberFormat="1" applyFont="1" applyFill="1" applyAlignment="1">
      <alignment horizontal="center"/>
    </xf>
    <xf numFmtId="189" fontId="0" fillId="0" borderId="0" xfId="42" applyNumberFormat="1" applyFont="1" applyAlignment="1">
      <alignment horizontal="center"/>
    </xf>
    <xf numFmtId="189" fontId="0" fillId="0" borderId="0" xfId="42" applyNumberFormat="1" applyFont="1" applyFill="1" applyAlignment="1">
      <alignment horizontal="center"/>
    </xf>
    <xf numFmtId="189" fontId="0" fillId="0" borderId="0" xfId="42" applyNumberFormat="1" applyFont="1" applyAlignment="1">
      <alignment horizontal="left"/>
    </xf>
    <xf numFmtId="189" fontId="0" fillId="0" borderId="14" xfId="42" applyNumberFormat="1" applyFont="1" applyBorder="1" applyAlignment="1">
      <alignment horizontal="center"/>
    </xf>
    <xf numFmtId="189" fontId="2" fillId="0" borderId="14" xfId="42" applyNumberFormat="1" applyFont="1" applyFill="1" applyBorder="1" applyAlignment="1">
      <alignment horizontal="center"/>
    </xf>
    <xf numFmtId="189" fontId="0" fillId="0" borderId="0" xfId="42" applyNumberFormat="1" applyFont="1" applyAlignment="1" quotePrefix="1">
      <alignment horizontal="left"/>
    </xf>
    <xf numFmtId="189" fontId="0" fillId="0" borderId="0" xfId="42" applyNumberFormat="1" applyFont="1" applyBorder="1" applyAlignment="1">
      <alignment horizontal="center"/>
    </xf>
    <xf numFmtId="189" fontId="0" fillId="0" borderId="0" xfId="42" applyNumberFormat="1" applyFont="1" applyFill="1" applyBorder="1" applyAlignment="1">
      <alignment horizontal="center"/>
    </xf>
    <xf numFmtId="189" fontId="0" fillId="0" borderId="16" xfId="42" applyNumberFormat="1" applyFont="1" applyBorder="1" applyAlignment="1">
      <alignment horizontal="center"/>
    </xf>
    <xf numFmtId="189" fontId="0" fillId="0" borderId="26" xfId="42" applyNumberFormat="1" applyFont="1" applyBorder="1" applyAlignment="1">
      <alignment horizontal="center"/>
    </xf>
    <xf numFmtId="189" fontId="0" fillId="0" borderId="26" xfId="42" applyNumberFormat="1" applyFont="1" applyFill="1" applyBorder="1" applyAlignment="1">
      <alignment horizontal="center"/>
    </xf>
    <xf numFmtId="189" fontId="0" fillId="0" borderId="16" xfId="42" applyNumberFormat="1" applyFont="1" applyFill="1" applyBorder="1" applyAlignment="1">
      <alignment horizontal="center"/>
    </xf>
    <xf numFmtId="189" fontId="0" fillId="0" borderId="0" xfId="42" applyNumberFormat="1" applyFill="1" applyBorder="1" applyAlignment="1">
      <alignment/>
    </xf>
    <xf numFmtId="189" fontId="2" fillId="0" borderId="0" xfId="42" applyNumberFormat="1" applyFont="1" applyBorder="1" applyAlignment="1">
      <alignment horizontal="center"/>
    </xf>
    <xf numFmtId="189" fontId="0" fillId="0" borderId="26" xfId="42" applyNumberFormat="1" applyBorder="1" applyAlignment="1">
      <alignment/>
    </xf>
    <xf numFmtId="189" fontId="0" fillId="0" borderId="26" xfId="42" applyNumberFormat="1" applyFill="1" applyBorder="1" applyAlignment="1">
      <alignment/>
    </xf>
    <xf numFmtId="189" fontId="0" fillId="0" borderId="16" xfId="42" applyNumberFormat="1" applyFill="1" applyBorder="1" applyAlignment="1">
      <alignment/>
    </xf>
    <xf numFmtId="189" fontId="0" fillId="0" borderId="14" xfId="42" applyNumberFormat="1" applyFill="1" applyBorder="1" applyAlignment="1">
      <alignment/>
    </xf>
    <xf numFmtId="189" fontId="0" fillId="0" borderId="13" xfId="42" applyNumberFormat="1" applyFill="1" applyBorder="1" applyAlignment="1">
      <alignment/>
    </xf>
    <xf numFmtId="189" fontId="0" fillId="0" borderId="27" xfId="42" applyNumberFormat="1" applyBorder="1" applyAlignment="1">
      <alignment/>
    </xf>
    <xf numFmtId="189" fontId="0" fillId="0" borderId="27" xfId="42" applyNumberFormat="1" applyFont="1" applyBorder="1" applyAlignment="1">
      <alignment/>
    </xf>
    <xf numFmtId="189" fontId="0" fillId="0" borderId="27" xfId="42" applyNumberFormat="1" applyFill="1" applyBorder="1" applyAlignment="1">
      <alignment/>
    </xf>
    <xf numFmtId="189" fontId="32" fillId="0" borderId="0" xfId="42" applyNumberFormat="1" applyFont="1" applyAlignment="1">
      <alignment/>
    </xf>
    <xf numFmtId="189" fontId="0" fillId="0" borderId="0" xfId="42" applyNumberFormat="1" applyFont="1" applyAlignment="1" quotePrefix="1">
      <alignment/>
    </xf>
    <xf numFmtId="43" fontId="22" fillId="0" borderId="0" xfId="42" applyNumberFormat="1" applyFont="1" applyBorder="1" applyAlignment="1">
      <alignment horizontal="center"/>
    </xf>
    <xf numFmtId="189" fontId="11" fillId="0" borderId="0" xfId="0" applyNumberFormat="1" applyFont="1" applyFill="1" applyBorder="1" applyAlignment="1">
      <alignment/>
    </xf>
    <xf numFmtId="189" fontId="11" fillId="0" borderId="0" xfId="42" applyNumberFormat="1" applyFont="1" applyFill="1" applyBorder="1" applyAlignment="1">
      <alignment horizontal="center"/>
    </xf>
    <xf numFmtId="0" fontId="11" fillId="0" borderId="0" xfId="0" applyFont="1" applyFill="1" applyBorder="1" applyAlignment="1">
      <alignment/>
    </xf>
    <xf numFmtId="0" fontId="30" fillId="0" borderId="0" xfId="0" applyFont="1" applyFill="1" applyBorder="1" applyAlignment="1">
      <alignment/>
    </xf>
    <xf numFmtId="43" fontId="6" fillId="0" borderId="0" xfId="42" applyNumberFormat="1" applyFont="1" applyAlignment="1">
      <alignment/>
    </xf>
    <xf numFmtId="43" fontId="6" fillId="0" borderId="0" xfId="42" applyNumberFormat="1" applyFont="1" applyAlignment="1">
      <alignment/>
    </xf>
    <xf numFmtId="189" fontId="0" fillId="0" borderId="13" xfId="42" applyNumberFormat="1" applyFont="1" applyFill="1" applyBorder="1" applyAlignment="1">
      <alignment/>
    </xf>
    <xf numFmtId="43" fontId="0" fillId="0" borderId="13" xfId="42" applyNumberFormat="1" applyFont="1" applyBorder="1" applyAlignment="1">
      <alignment/>
    </xf>
    <xf numFmtId="43" fontId="6" fillId="22" borderId="0" xfId="0" applyNumberFormat="1" applyFont="1" applyFill="1" applyAlignment="1">
      <alignment/>
    </xf>
    <xf numFmtId="43" fontId="0" fillId="0" borderId="0" xfId="42" applyNumberFormat="1" applyFont="1" applyBorder="1" applyAlignment="1">
      <alignment/>
    </xf>
    <xf numFmtId="43" fontId="8" fillId="0" borderId="0" xfId="0" applyNumberFormat="1" applyFont="1" applyAlignment="1">
      <alignment/>
    </xf>
    <xf numFmtId="43" fontId="0" fillId="22" borderId="0" xfId="42" applyNumberFormat="1" applyFont="1" applyFill="1" applyAlignment="1">
      <alignment/>
    </xf>
    <xf numFmtId="43" fontId="0" fillId="22" borderId="0" xfId="0" applyNumberFormat="1" applyFill="1" applyAlignment="1">
      <alignment/>
    </xf>
    <xf numFmtId="43" fontId="9" fillId="0" borderId="0" xfId="0" applyNumberFormat="1" applyFont="1" applyAlignment="1">
      <alignment/>
    </xf>
    <xf numFmtId="43" fontId="9" fillId="0" borderId="0" xfId="0" applyNumberFormat="1" applyFont="1" applyAlignment="1">
      <alignment horizontal="center"/>
    </xf>
    <xf numFmtId="43" fontId="0" fillId="0" borderId="26" xfId="42" applyNumberFormat="1" applyFont="1" applyBorder="1" applyAlignment="1">
      <alignment/>
    </xf>
    <xf numFmtId="43" fontId="0" fillId="0" borderId="0" xfId="42" applyNumberFormat="1" applyFont="1" applyFill="1" applyBorder="1" applyAlignment="1">
      <alignment/>
    </xf>
    <xf numFmtId="43" fontId="0" fillId="0" borderId="0" xfId="42" applyNumberFormat="1" applyFont="1" applyAlignment="1">
      <alignment horizontal="center"/>
    </xf>
    <xf numFmtId="43" fontId="0" fillId="0" borderId="0" xfId="42" applyNumberFormat="1" applyFont="1" applyFill="1" applyAlignment="1">
      <alignment/>
    </xf>
    <xf numFmtId="189" fontId="0" fillId="0" borderId="0" xfId="42" applyNumberFormat="1" applyFont="1" applyFill="1" applyBorder="1" applyAlignment="1">
      <alignment horizontal="center"/>
    </xf>
    <xf numFmtId="43" fontId="0" fillId="0" borderId="0" xfId="42" applyNumberFormat="1" applyFont="1" applyFill="1" applyAlignment="1">
      <alignment horizontal="center"/>
    </xf>
    <xf numFmtId="43" fontId="6" fillId="0" borderId="0" xfId="42" applyNumberFormat="1" applyFont="1" applyAlignment="1">
      <alignment horizontal="center"/>
    </xf>
    <xf numFmtId="189" fontId="22" fillId="0" borderId="0" xfId="42" applyNumberFormat="1" applyFont="1" applyFill="1" applyBorder="1" applyAlignment="1">
      <alignment/>
    </xf>
    <xf numFmtId="43" fontId="22" fillId="0" borderId="0" xfId="42" applyNumberFormat="1" applyFont="1" applyBorder="1" applyAlignment="1">
      <alignment/>
    </xf>
    <xf numFmtId="43" fontId="0" fillId="0" borderId="14" xfId="42" applyFill="1" applyBorder="1" applyAlignment="1">
      <alignment/>
    </xf>
    <xf numFmtId="43" fontId="0" fillId="0" borderId="27" xfId="42" applyFill="1" applyBorder="1" applyAlignment="1">
      <alignment/>
    </xf>
    <xf numFmtId="43" fontId="0" fillId="0" borderId="0" xfId="42" applyFont="1" applyFill="1" applyAlignment="1">
      <alignment/>
    </xf>
    <xf numFmtId="43" fontId="0" fillId="0" borderId="13" xfId="42" applyFont="1" applyBorder="1" applyAlignment="1">
      <alignment/>
    </xf>
    <xf numFmtId="189" fontId="6" fillId="0" borderId="0" xfId="42" applyNumberFormat="1" applyFont="1" applyAlignment="1">
      <alignment/>
    </xf>
    <xf numFmtId="189" fontId="1" fillId="0" borderId="0" xfId="42" applyNumberFormat="1" applyFont="1" applyAlignment="1">
      <alignment/>
    </xf>
    <xf numFmtId="189" fontId="0" fillId="0" borderId="0" xfId="42" applyNumberFormat="1" applyFont="1" applyFill="1" applyBorder="1" applyAlignment="1">
      <alignment/>
    </xf>
    <xf numFmtId="189" fontId="0" fillId="0" borderId="34" xfId="42" applyNumberFormat="1" applyFont="1" applyFill="1" applyBorder="1" applyAlignment="1">
      <alignment/>
    </xf>
    <xf numFmtId="189" fontId="0" fillId="0" borderId="35" xfId="42" applyNumberFormat="1" applyFont="1" applyFill="1" applyBorder="1" applyAlignment="1">
      <alignment/>
    </xf>
    <xf numFmtId="189" fontId="0" fillId="0" borderId="36" xfId="42" applyNumberFormat="1" applyFont="1" applyFill="1" applyBorder="1" applyAlignment="1">
      <alignment/>
    </xf>
    <xf numFmtId="189" fontId="0" fillId="0" borderId="10" xfId="42" applyNumberFormat="1" applyFont="1" applyFill="1" applyBorder="1" applyAlignment="1">
      <alignment/>
    </xf>
    <xf numFmtId="189" fontId="0" fillId="0" borderId="11" xfId="42" applyNumberFormat="1" applyFont="1" applyFill="1" applyBorder="1" applyAlignment="1">
      <alignment/>
    </xf>
    <xf numFmtId="189" fontId="0" fillId="0" borderId="12" xfId="42" applyNumberFormat="1" applyFont="1" applyFill="1" applyBorder="1" applyAlignment="1">
      <alignment/>
    </xf>
    <xf numFmtId="189" fontId="0" fillId="0" borderId="13" xfId="42" applyNumberFormat="1" applyFont="1" applyFill="1" applyBorder="1" applyAlignment="1">
      <alignment/>
    </xf>
    <xf numFmtId="189" fontId="0" fillId="0" borderId="14" xfId="42" applyNumberFormat="1" applyFont="1" applyFill="1" applyBorder="1" applyAlignment="1">
      <alignment/>
    </xf>
    <xf numFmtId="189" fontId="6" fillId="0" borderId="0" xfId="42" applyNumberFormat="1" applyFont="1" applyBorder="1" applyAlignment="1">
      <alignment/>
    </xf>
    <xf numFmtId="189" fontId="6" fillId="0" borderId="0" xfId="0" applyNumberFormat="1" applyFont="1" applyAlignment="1">
      <alignment/>
    </xf>
    <xf numFmtId="43" fontId="6" fillId="0" borderId="0" xfId="42" applyNumberFormat="1" applyFont="1" applyAlignment="1" quotePrefix="1">
      <alignment horizontal="center"/>
    </xf>
    <xf numFmtId="188" fontId="0" fillId="0" borderId="0" xfId="42" applyNumberFormat="1" applyFont="1" applyAlignment="1" quotePrefix="1">
      <alignment horizontal="center"/>
    </xf>
    <xf numFmtId="189" fontId="0" fillId="0" borderId="0" xfId="42" applyNumberFormat="1" applyFont="1" applyFill="1" applyAlignment="1" quotePrefix="1">
      <alignment horizontal="center"/>
    </xf>
    <xf numFmtId="189" fontId="0" fillId="0" borderId="0" xfId="42" applyNumberFormat="1" applyFont="1" applyFill="1" applyBorder="1" applyAlignment="1" quotePrefix="1">
      <alignment horizontal="center"/>
    </xf>
    <xf numFmtId="189" fontId="0" fillId="0" borderId="0" xfId="42" applyNumberFormat="1" applyFont="1" applyAlignment="1" quotePrefix="1">
      <alignment horizontal="center"/>
    </xf>
    <xf numFmtId="189" fontId="0" fillId="0" borderId="0" xfId="0" applyNumberFormat="1" applyFont="1" applyBorder="1" applyAlignment="1">
      <alignment/>
    </xf>
    <xf numFmtId="2" fontId="0" fillId="0" borderId="0" xfId="0" applyNumberFormat="1" applyFont="1" applyAlignment="1">
      <alignment/>
    </xf>
    <xf numFmtId="43" fontId="0" fillId="0" borderId="0" xfId="42" applyFont="1" applyBorder="1" applyAlignment="1">
      <alignment/>
    </xf>
    <xf numFmtId="189" fontId="3" fillId="0" borderId="0" xfId="42" applyNumberFormat="1" applyFont="1" applyAlignment="1" quotePrefix="1">
      <alignment horizontal="center"/>
    </xf>
    <xf numFmtId="43" fontId="0" fillId="0" borderId="11" xfId="42" applyFont="1" applyBorder="1" applyAlignment="1">
      <alignment/>
    </xf>
    <xf numFmtId="0" fontId="2" fillId="0" borderId="0" xfId="0" applyFont="1" applyAlignment="1" quotePrefix="1">
      <alignment horizontal="center"/>
    </xf>
    <xf numFmtId="189" fontId="22" fillId="0" borderId="26" xfId="42" applyNumberFormat="1" applyFont="1" applyBorder="1" applyAlignment="1">
      <alignment horizontal="center"/>
    </xf>
    <xf numFmtId="189" fontId="0" fillId="0" borderId="28" xfId="42" applyNumberFormat="1" applyFont="1" applyFill="1" applyBorder="1" applyAlignment="1">
      <alignment/>
    </xf>
    <xf numFmtId="189" fontId="0" fillId="0" borderId="29" xfId="42" applyNumberFormat="1" applyFont="1" applyBorder="1" applyAlignment="1">
      <alignment/>
    </xf>
    <xf numFmtId="189" fontId="0" fillId="0" borderId="29" xfId="42" applyNumberFormat="1" applyFont="1" applyFill="1" applyBorder="1" applyAlignment="1">
      <alignment/>
    </xf>
    <xf numFmtId="189" fontId="0" fillId="0" borderId="30" xfId="42" applyNumberFormat="1" applyFont="1" applyFill="1" applyBorder="1" applyAlignment="1">
      <alignment/>
    </xf>
    <xf numFmtId="37" fontId="0" fillId="0" borderId="14" xfId="0" applyNumberFormat="1" applyFont="1" applyBorder="1" applyAlignment="1">
      <alignment/>
    </xf>
    <xf numFmtId="43" fontId="0" fillId="0" borderId="0" xfId="42" applyFont="1" applyFill="1" applyAlignment="1">
      <alignment/>
    </xf>
    <xf numFmtId="9" fontId="0" fillId="0" borderId="0" xfId="61" applyFont="1" applyAlignment="1">
      <alignment horizontal="center"/>
    </xf>
    <xf numFmtId="43" fontId="22" fillId="0" borderId="27" xfId="42" applyNumberFormat="1" applyFont="1" applyBorder="1" applyAlignment="1">
      <alignment horizontal="right"/>
    </xf>
    <xf numFmtId="40" fontId="22" fillId="0" borderId="14" xfId="42" applyNumberFormat="1" applyFont="1" applyBorder="1" applyAlignment="1">
      <alignment/>
    </xf>
    <xf numFmtId="43" fontId="22" fillId="0" borderId="0" xfId="0" applyNumberFormat="1" applyFont="1" applyAlignment="1">
      <alignment horizontal="right"/>
    </xf>
    <xf numFmtId="43" fontId="22" fillId="0" borderId="0" xfId="42" applyNumberFormat="1" applyFont="1" applyAlignment="1">
      <alignment horizontal="right"/>
    </xf>
    <xf numFmtId="43" fontId="22" fillId="0" borderId="0" xfId="42" applyNumberFormat="1" applyFont="1" applyFill="1" applyAlignment="1">
      <alignment horizontal="right"/>
    </xf>
    <xf numFmtId="43" fontId="22" fillId="0" borderId="0" xfId="42" applyNumberFormat="1" applyFont="1" applyAlignment="1">
      <alignment horizontal="center"/>
    </xf>
    <xf numFmtId="43" fontId="22" fillId="0" borderId="0" xfId="42" applyNumberFormat="1" applyFont="1" applyAlignment="1">
      <alignment/>
    </xf>
    <xf numFmtId="43" fontId="22" fillId="0" borderId="0" xfId="0" applyNumberFormat="1" applyFont="1" applyAlignment="1">
      <alignment horizontal="left"/>
    </xf>
    <xf numFmtId="43" fontId="23" fillId="0" borderId="0" xfId="42" applyNumberFormat="1" applyFont="1" applyAlignment="1">
      <alignment horizontal="right"/>
    </xf>
    <xf numFmtId="43" fontId="22" fillId="0" borderId="0" xfId="42" applyNumberFormat="1" applyFont="1" applyAlignment="1">
      <alignment horizontal="left"/>
    </xf>
    <xf numFmtId="43" fontId="22" fillId="0" borderId="0" xfId="42" applyNumberFormat="1" applyFont="1" applyAlignment="1">
      <alignment/>
    </xf>
    <xf numFmtId="43" fontId="22" fillId="0" borderId="0" xfId="42" applyNumberFormat="1" applyFont="1" applyFill="1" applyAlignment="1">
      <alignment/>
    </xf>
    <xf numFmtId="43" fontId="22" fillId="0" borderId="0" xfId="0" applyNumberFormat="1" applyFont="1" applyAlignment="1">
      <alignment/>
    </xf>
    <xf numFmtId="0" fontId="0" fillId="0" borderId="37" xfId="0" applyBorder="1" applyAlignment="1">
      <alignment/>
    </xf>
    <xf numFmtId="15" fontId="2" fillId="0" borderId="0" xfId="0" applyNumberFormat="1" applyFont="1" applyAlignment="1" quotePrefix="1">
      <alignment horizontal="center"/>
    </xf>
    <xf numFmtId="15" fontId="2" fillId="0" borderId="0" xfId="0" applyNumberFormat="1" applyFont="1" applyAlignment="1">
      <alignment horizontal="center"/>
    </xf>
    <xf numFmtId="0" fontId="0" fillId="0" borderId="0" xfId="0" applyAlignment="1" quotePrefix="1">
      <alignment/>
    </xf>
    <xf numFmtId="0" fontId="2" fillId="0" borderId="37" xfId="0" applyFont="1" applyBorder="1" applyAlignment="1">
      <alignment/>
    </xf>
    <xf numFmtId="0" fontId="2" fillId="0" borderId="0" xfId="0" applyFont="1" applyAlignment="1" quotePrefix="1">
      <alignment/>
    </xf>
    <xf numFmtId="189" fontId="0" fillId="0" borderId="16" xfId="42" applyNumberFormat="1" applyFont="1" applyBorder="1" applyAlignment="1">
      <alignment/>
    </xf>
    <xf numFmtId="189" fontId="2" fillId="0" borderId="13" xfId="42" applyNumberFormat="1" applyFont="1" applyBorder="1" applyAlignment="1">
      <alignment/>
    </xf>
    <xf numFmtId="189" fontId="0" fillId="0" borderId="16" xfId="0" applyNumberFormat="1" applyBorder="1" applyAlignment="1">
      <alignment/>
    </xf>
    <xf numFmtId="189" fontId="0" fillId="0" borderId="10" xfId="42" applyNumberFormat="1" applyFont="1" applyBorder="1" applyAlignment="1">
      <alignment/>
    </xf>
    <xf numFmtId="189" fontId="0" fillId="0" borderId="11" xfId="42" applyNumberFormat="1" applyFont="1" applyBorder="1" applyAlignment="1">
      <alignment/>
    </xf>
    <xf numFmtId="189" fontId="2" fillId="0" borderId="16" xfId="42" applyNumberFormat="1" applyFont="1" applyBorder="1" applyAlignment="1">
      <alignment/>
    </xf>
    <xf numFmtId="189" fontId="0" fillId="0" borderId="37" xfId="42" applyNumberFormat="1" applyFont="1" applyBorder="1" applyAlignment="1">
      <alignment/>
    </xf>
    <xf numFmtId="189" fontId="0" fillId="0" borderId="26" xfId="42" applyNumberFormat="1" applyFont="1" applyBorder="1" applyAlignment="1">
      <alignment/>
    </xf>
    <xf numFmtId="41" fontId="0" fillId="0" borderId="0" xfId="42" applyNumberFormat="1" applyFont="1" applyFill="1" applyAlignment="1">
      <alignment/>
    </xf>
    <xf numFmtId="41" fontId="0" fillId="0" borderId="10" xfId="42" applyNumberFormat="1" applyFont="1" applyFill="1" applyBorder="1" applyAlignment="1">
      <alignment/>
    </xf>
    <xf numFmtId="41" fontId="0" fillId="0" borderId="11" xfId="42" applyNumberFormat="1" applyFont="1" applyFill="1" applyBorder="1" applyAlignment="1">
      <alignment/>
    </xf>
    <xf numFmtId="41" fontId="0" fillId="0" borderId="11" xfId="0" applyNumberFormat="1" applyFont="1" applyFill="1" applyBorder="1" applyAlignment="1">
      <alignment/>
    </xf>
    <xf numFmtId="0" fontId="0" fillId="0" borderId="37" xfId="0" applyFill="1" applyBorder="1" applyAlignment="1">
      <alignment/>
    </xf>
    <xf numFmtId="0" fontId="0" fillId="0" borderId="0" xfId="0" applyFill="1" applyAlignment="1">
      <alignment/>
    </xf>
    <xf numFmtId="0" fontId="2" fillId="0" borderId="0" xfId="0" applyFont="1" applyFill="1" applyAlignment="1">
      <alignment/>
    </xf>
    <xf numFmtId="189" fontId="0" fillId="0" borderId="14" xfId="0" applyNumberFormat="1" applyBorder="1" applyAlignment="1">
      <alignment/>
    </xf>
    <xf numFmtId="189" fontId="2" fillId="0" borderId="0" xfId="42" applyNumberFormat="1" applyFont="1" applyFill="1" applyBorder="1" applyAlignment="1">
      <alignment/>
    </xf>
    <xf numFmtId="189" fontId="2" fillId="0" borderId="0" xfId="0" applyNumberFormat="1" applyFont="1" applyAlignment="1">
      <alignment/>
    </xf>
    <xf numFmtId="189" fontId="0" fillId="0" borderId="26" xfId="0" applyNumberFormat="1" applyBorder="1" applyAlignment="1">
      <alignment/>
    </xf>
    <xf numFmtId="189" fontId="0" fillId="0" borderId="27" xfId="0" applyNumberFormat="1" applyBorder="1" applyAlignment="1">
      <alignment/>
    </xf>
    <xf numFmtId="189" fontId="0" fillId="0" borderId="13" xfId="0" applyNumberFormat="1" applyBorder="1" applyAlignment="1">
      <alignment/>
    </xf>
    <xf numFmtId="0" fontId="0" fillId="0" borderId="0" xfId="0" applyFill="1" applyBorder="1" applyAlignment="1">
      <alignment/>
    </xf>
    <xf numFmtId="0" fontId="0" fillId="0" borderId="0" xfId="0" applyAlignment="1">
      <alignment horizontal="right"/>
    </xf>
    <xf numFmtId="189" fontId="0" fillId="0" borderId="12" xfId="42" applyNumberFormat="1" applyFont="1" applyBorder="1" applyAlignment="1">
      <alignment/>
    </xf>
    <xf numFmtId="41" fontId="0" fillId="0" borderId="10" xfId="0" applyNumberFormat="1" applyFont="1" applyFill="1" applyBorder="1" applyAlignment="1">
      <alignment/>
    </xf>
    <xf numFmtId="41" fontId="0" fillId="0" borderId="12" xfId="0" applyNumberFormat="1" applyFont="1" applyFill="1" applyBorder="1" applyAlignment="1">
      <alignment/>
    </xf>
    <xf numFmtId="189" fontId="2" fillId="0" borderId="0" xfId="0" applyNumberFormat="1" applyFont="1" applyFill="1" applyAlignment="1">
      <alignment/>
    </xf>
    <xf numFmtId="41" fontId="2" fillId="0" borderId="0" xfId="0" applyNumberFormat="1" applyFont="1" applyAlignment="1">
      <alignment/>
    </xf>
    <xf numFmtId="189" fontId="0" fillId="0" borderId="37" xfId="42" applyNumberFormat="1" applyFill="1" applyBorder="1" applyAlignment="1">
      <alignment/>
    </xf>
    <xf numFmtId="15" fontId="2" fillId="0" borderId="0" xfId="42" applyNumberFormat="1" applyFont="1" applyFill="1" applyAlignment="1" quotePrefix="1">
      <alignment horizontal="center"/>
    </xf>
    <xf numFmtId="189" fontId="2" fillId="0" borderId="0" xfId="42" applyNumberFormat="1" applyFont="1" applyFill="1" applyAlignment="1">
      <alignment/>
    </xf>
    <xf numFmtId="221" fontId="0" fillId="0" borderId="0" xfId="0" applyNumberFormat="1" applyFont="1" applyFill="1" applyBorder="1" applyAlignment="1">
      <alignment/>
    </xf>
    <xf numFmtId="188" fontId="0" fillId="0" borderId="0" xfId="42" applyNumberFormat="1" applyFont="1" applyBorder="1" applyAlignment="1">
      <alignment/>
    </xf>
    <xf numFmtId="43" fontId="0" fillId="0" borderId="0" xfId="42" applyFill="1" applyAlignment="1">
      <alignment/>
    </xf>
    <xf numFmtId="189" fontId="0" fillId="0" borderId="0" xfId="0" applyNumberFormat="1" applyAlignment="1" quotePrefix="1">
      <alignment/>
    </xf>
    <xf numFmtId="41" fontId="0" fillId="0" borderId="0" xfId="0" applyNumberFormat="1" applyFill="1" applyAlignment="1">
      <alignment/>
    </xf>
    <xf numFmtId="41" fontId="0" fillId="0" borderId="0" xfId="42" applyNumberFormat="1" applyFont="1" applyBorder="1" applyAlignment="1">
      <alignment/>
    </xf>
    <xf numFmtId="41" fontId="0" fillId="0" borderId="0" xfId="42" applyNumberFormat="1" applyFont="1" applyFill="1" applyBorder="1" applyAlignment="1">
      <alignment/>
    </xf>
    <xf numFmtId="189" fontId="0" fillId="0" borderId="10" xfId="42" applyNumberFormat="1" applyFont="1" applyFill="1" applyBorder="1" applyAlignment="1">
      <alignment/>
    </xf>
    <xf numFmtId="189" fontId="0" fillId="0" borderId="11" xfId="42" applyNumberFormat="1" applyFont="1" applyFill="1" applyBorder="1" applyAlignment="1">
      <alignment/>
    </xf>
    <xf numFmtId="189" fontId="0" fillId="0" borderId="12" xfId="42" applyNumberFormat="1" applyFont="1" applyFill="1" applyBorder="1" applyAlignment="1">
      <alignment/>
    </xf>
    <xf numFmtId="0" fontId="2" fillId="0" borderId="0" xfId="0" applyFont="1" applyBorder="1" applyAlignment="1">
      <alignment/>
    </xf>
    <xf numFmtId="0" fontId="33" fillId="0" borderId="0" xfId="0" applyFont="1" applyFill="1" applyAlignment="1">
      <alignment/>
    </xf>
    <xf numFmtId="221" fontId="0" fillId="0" borderId="0" xfId="0" applyNumberFormat="1" applyFont="1" applyAlignment="1">
      <alignment/>
    </xf>
    <xf numFmtId="189" fontId="0" fillId="0" borderId="0" xfId="0" applyNumberFormat="1" applyFill="1" applyAlignment="1">
      <alignment/>
    </xf>
    <xf numFmtId="189" fontId="0" fillId="0" borderId="0" xfId="0" applyNumberFormat="1" applyFont="1" applyFill="1" applyAlignment="1">
      <alignment horizontal="center"/>
    </xf>
    <xf numFmtId="189" fontId="0" fillId="0" borderId="26" xfId="0" applyNumberFormat="1" applyFill="1" applyBorder="1" applyAlignment="1">
      <alignment/>
    </xf>
    <xf numFmtId="0" fontId="0" fillId="0" borderId="26" xfId="0" applyFill="1" applyBorder="1" applyAlignment="1">
      <alignment/>
    </xf>
    <xf numFmtId="0" fontId="0" fillId="0" borderId="0" xfId="0" applyFont="1" applyBorder="1" applyAlignment="1">
      <alignment horizontal="center"/>
    </xf>
    <xf numFmtId="0" fontId="0" fillId="0" borderId="0" xfId="0" applyAlignment="1">
      <alignment wrapText="1"/>
    </xf>
    <xf numFmtId="15" fontId="2" fillId="0" borderId="0" xfId="0" applyNumberFormat="1" applyFont="1" applyFill="1" applyAlignment="1" quotePrefix="1">
      <alignment horizontal="center"/>
    </xf>
    <xf numFmtId="192" fontId="2" fillId="0" borderId="0" xfId="0" applyNumberFormat="1" applyFont="1" applyFill="1" applyAlignment="1">
      <alignment horizontal="center"/>
    </xf>
    <xf numFmtId="15" fontId="2" fillId="0" borderId="0" xfId="0" applyNumberFormat="1" applyFont="1" applyFill="1" applyAlignment="1">
      <alignment horizontal="center"/>
    </xf>
    <xf numFmtId="189" fontId="0" fillId="0" borderId="0" xfId="0" applyNumberFormat="1" applyFill="1" applyBorder="1" applyAlignment="1">
      <alignment/>
    </xf>
    <xf numFmtId="189" fontId="0" fillId="0" borderId="26" xfId="0" applyNumberFormat="1" applyFont="1" applyFill="1" applyBorder="1" applyAlignment="1">
      <alignment horizontal="center"/>
    </xf>
    <xf numFmtId="189" fontId="0" fillId="0" borderId="0" xfId="0" applyNumberFormat="1" applyFill="1" applyBorder="1" applyAlignment="1">
      <alignment horizontal="center"/>
    </xf>
    <xf numFmtId="188" fontId="0" fillId="0" borderId="16" xfId="42" applyNumberFormat="1" applyFont="1" applyFill="1" applyBorder="1" applyAlignment="1">
      <alignment/>
    </xf>
    <xf numFmtId="189" fontId="0" fillId="0" borderId="16" xfId="42" applyNumberFormat="1" applyFont="1" applyBorder="1" applyAlignment="1">
      <alignment/>
    </xf>
    <xf numFmtId="189" fontId="2" fillId="0" borderId="0" xfId="42" applyNumberFormat="1" applyFont="1" applyBorder="1" applyAlignment="1">
      <alignment/>
    </xf>
    <xf numFmtId="189" fontId="2" fillId="0" borderId="14" xfId="42" applyNumberFormat="1" applyFont="1" applyBorder="1" applyAlignment="1">
      <alignment/>
    </xf>
    <xf numFmtId="189" fontId="0" fillId="0" borderId="16" xfId="0" applyNumberFormat="1" applyFont="1" applyBorder="1" applyAlignment="1">
      <alignment/>
    </xf>
    <xf numFmtId="188" fontId="2" fillId="0" borderId="16" xfId="42" applyNumberFormat="1" applyFont="1" applyFill="1" applyBorder="1" applyAlignment="1">
      <alignment/>
    </xf>
    <xf numFmtId="43" fontId="2" fillId="0" borderId="0" xfId="42" applyFont="1" applyFill="1" applyAlignment="1">
      <alignment/>
    </xf>
    <xf numFmtId="43" fontId="2" fillId="0" borderId="0" xfId="42" applyFont="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189" fontId="6" fillId="0" borderId="0" xfId="42" applyNumberFormat="1" applyFont="1" applyFill="1" applyAlignment="1">
      <alignment horizontal="center"/>
    </xf>
    <xf numFmtId="189" fontId="2" fillId="0" borderId="14" xfId="42" applyNumberFormat="1" applyFont="1" applyBorder="1" applyAlignment="1">
      <alignment horizontal="center"/>
    </xf>
    <xf numFmtId="0" fontId="2" fillId="0" borderId="0" xfId="0" applyFont="1" applyAlignment="1">
      <alignment horizontal="center"/>
    </xf>
    <xf numFmtId="0" fontId="2" fillId="0" borderId="40" xfId="0" applyFont="1" applyBorder="1" applyAlignment="1">
      <alignment horizontal="center"/>
    </xf>
    <xf numFmtId="0" fontId="33" fillId="0" borderId="0" xfId="0" applyFont="1" applyFill="1" applyAlignment="1">
      <alignment wrapText="1"/>
    </xf>
    <xf numFmtId="0" fontId="2" fillId="0" borderId="37" xfId="0" applyFont="1" applyBorder="1" applyAlignment="1">
      <alignment horizontal="center"/>
    </xf>
    <xf numFmtId="0" fontId="33" fillId="0" borderId="0" xfId="0" applyFont="1" applyFill="1" applyAlignment="1">
      <alignment horizontal="left" wrapText="1"/>
    </xf>
    <xf numFmtId="189" fontId="10" fillId="0" borderId="30" xfId="0" applyNumberFormat="1" applyFont="1" applyBorder="1" applyAlignment="1">
      <alignment horizontal="center"/>
    </xf>
    <xf numFmtId="189" fontId="10" fillId="0" borderId="36" xfId="0" applyNumberFormat="1" applyFont="1" applyBorder="1" applyAlignment="1">
      <alignment horizontal="center"/>
    </xf>
    <xf numFmtId="189" fontId="10" fillId="0" borderId="41" xfId="0" applyNumberFormat="1" applyFont="1" applyBorder="1" applyAlignment="1">
      <alignment horizontal="center"/>
    </xf>
    <xf numFmtId="189" fontId="10" fillId="0" borderId="42" xfId="0" applyNumberFormat="1" applyFont="1" applyBorder="1" applyAlignment="1">
      <alignment horizontal="center"/>
    </xf>
    <xf numFmtId="189" fontId="10" fillId="0" borderId="28" xfId="0" applyNumberFormat="1" applyFont="1" applyBorder="1" applyAlignment="1">
      <alignment horizontal="center"/>
    </xf>
    <xf numFmtId="189" fontId="10" fillId="0" borderId="34" xfId="0" applyNumberFormat="1" applyFont="1" applyBorder="1" applyAlignment="1">
      <alignment horizontal="center"/>
    </xf>
    <xf numFmtId="43" fontId="10" fillId="0" borderId="30" xfId="42" applyFont="1" applyBorder="1" applyAlignment="1">
      <alignment horizontal="center"/>
    </xf>
    <xf numFmtId="43" fontId="10" fillId="0" borderId="36" xfId="42" applyFont="1" applyBorder="1" applyAlignment="1">
      <alignment horizontal="center"/>
    </xf>
    <xf numFmtId="43" fontId="10" fillId="0" borderId="29" xfId="42" applyFont="1" applyBorder="1" applyAlignment="1">
      <alignment horizontal="center"/>
    </xf>
    <xf numFmtId="43" fontId="10" fillId="0" borderId="35" xfId="42" applyFont="1" applyBorder="1" applyAlignment="1">
      <alignment horizontal="center"/>
    </xf>
    <xf numFmtId="189" fontId="10" fillId="0" borderId="29" xfId="42" applyNumberFormat="1" applyFont="1" applyBorder="1" applyAlignment="1">
      <alignment/>
    </xf>
    <xf numFmtId="189" fontId="10" fillId="0" borderId="35" xfId="42" applyNumberFormat="1" applyFont="1" applyBorder="1" applyAlignment="1">
      <alignment/>
    </xf>
    <xf numFmtId="0" fontId="10" fillId="0" borderId="43" xfId="0" applyFont="1" applyBorder="1" applyAlignment="1">
      <alignment horizontal="center"/>
    </xf>
    <xf numFmtId="0" fontId="10" fillId="0" borderId="44" xfId="0" applyFont="1" applyBorder="1" applyAlignment="1">
      <alignment horizontal="center"/>
    </xf>
    <xf numFmtId="0" fontId="10" fillId="0" borderId="28" xfId="0" applyFont="1" applyBorder="1" applyAlignment="1">
      <alignment horizontal="center"/>
    </xf>
    <xf numFmtId="0" fontId="10" fillId="0" borderId="34" xfId="0" applyFont="1" applyBorder="1" applyAlignment="1">
      <alignment horizontal="center"/>
    </xf>
    <xf numFmtId="0" fontId="0" fillId="0" borderId="28" xfId="0" applyBorder="1" applyAlignment="1">
      <alignment horizontal="center"/>
    </xf>
    <xf numFmtId="0" fontId="0" fillId="0" borderId="34" xfId="0" applyBorder="1" applyAlignment="1">
      <alignment horizontal="center"/>
    </xf>
    <xf numFmtId="189" fontId="10" fillId="0" borderId="29" xfId="42" applyNumberFormat="1" applyFont="1" applyBorder="1" applyAlignment="1">
      <alignment horizontal="center"/>
    </xf>
    <xf numFmtId="189" fontId="10" fillId="0" borderId="35" xfId="42" applyNumberFormat="1" applyFont="1" applyBorder="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0" fillId="0" borderId="27" xfId="0" applyFont="1" applyBorder="1" applyAlignment="1">
      <alignment horizontal="center"/>
    </xf>
    <xf numFmtId="0" fontId="10" fillId="0" borderId="43" xfId="0" applyFont="1" applyBorder="1" applyAlignment="1">
      <alignment horizontal="center"/>
    </xf>
    <xf numFmtId="0" fontId="10" fillId="0" borderId="27" xfId="0" applyFont="1" applyBorder="1" applyAlignment="1">
      <alignment horizontal="center"/>
    </xf>
    <xf numFmtId="0" fontId="10" fillId="0" borderId="44" xfId="0" applyFont="1" applyBorder="1" applyAlignment="1">
      <alignment horizontal="center"/>
    </xf>
    <xf numFmtId="0" fontId="10" fillId="0" borderId="43" xfId="0" applyFont="1" applyBorder="1" applyAlignment="1">
      <alignment horizontal="center" wrapText="1"/>
    </xf>
    <xf numFmtId="0" fontId="10" fillId="0" borderId="44" xfId="0" applyFont="1" applyBorder="1" applyAlignment="1">
      <alignment horizontal="center" wrapText="1"/>
    </xf>
    <xf numFmtId="0" fontId="0" fillId="0" borderId="0" xfId="57" applyFont="1" applyFill="1" applyAlignment="1">
      <alignment horizontal="left" vertical="top" wrapText="1"/>
      <protection/>
    </xf>
    <xf numFmtId="189" fontId="2" fillId="0" borderId="0" xfId="42" applyNumberFormat="1"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QuarterlyTemplat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11</xdr:col>
      <xdr:colOff>561975</xdr:colOff>
      <xdr:row>18</xdr:row>
      <xdr:rowOff>0</xdr:rowOff>
    </xdr:to>
    <xdr:sp>
      <xdr:nvSpPr>
        <xdr:cNvPr id="1" name="Text Box 1"/>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 name="Text Box 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realized or unrealized,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2</xdr:col>
      <xdr:colOff>9525</xdr:colOff>
      <xdr:row>18</xdr:row>
      <xdr:rowOff>0</xdr:rowOff>
    </xdr:from>
    <xdr:to>
      <xdr:col>11</xdr:col>
      <xdr:colOff>600075</xdr:colOff>
      <xdr:row>18</xdr:row>
      <xdr:rowOff>0</xdr:rowOff>
    </xdr:to>
    <xdr:sp>
      <xdr:nvSpPr>
        <xdr:cNvPr id="3" name="Text Box 4"/>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financial statements of the Group and of the Company are prepared under the historical cost convention, unless otherwise indicated in the other significant accounting policies.</a:t>
          </a:r>
        </a:p>
      </xdr:txBody>
    </xdr:sp>
    <xdr:clientData/>
  </xdr:twoCellAnchor>
  <xdr:twoCellAnchor>
    <xdr:from>
      <xdr:col>2</xdr:col>
      <xdr:colOff>0</xdr:colOff>
      <xdr:row>18</xdr:row>
      <xdr:rowOff>0</xdr:rowOff>
    </xdr:from>
    <xdr:to>
      <xdr:col>11</xdr:col>
      <xdr:colOff>542925</xdr:colOff>
      <xdr:row>18</xdr:row>
      <xdr:rowOff>0</xdr:rowOff>
    </xdr:to>
    <xdr:sp>
      <xdr:nvSpPr>
        <xdr:cNvPr id="4" name="Text Box 5"/>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5" name="Text Box 6"/>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6" name="Text Box 7"/>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7" name="Text Box 9"/>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8" name="Text Box 10"/>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Intereset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9" name="Text Box 11"/>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10" name="Text Box 12"/>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1</xdr:col>
      <xdr:colOff>304800</xdr:colOff>
      <xdr:row>18</xdr:row>
      <xdr:rowOff>0</xdr:rowOff>
    </xdr:from>
    <xdr:to>
      <xdr:col>11</xdr:col>
      <xdr:colOff>552450</xdr:colOff>
      <xdr:row>18</xdr:row>
      <xdr:rowOff>0</xdr:rowOff>
    </xdr:to>
    <xdr:sp>
      <xdr:nvSpPr>
        <xdr:cNvPr id="11" name="Text Box 13"/>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2" name="Text Box 14"/>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1</xdr:col>
      <xdr:colOff>0</xdr:colOff>
      <xdr:row>64</xdr:row>
      <xdr:rowOff>104775</xdr:rowOff>
    </xdr:from>
    <xdr:to>
      <xdr:col>11</xdr:col>
      <xdr:colOff>552450</xdr:colOff>
      <xdr:row>66</xdr:row>
      <xdr:rowOff>19050</xdr:rowOff>
    </xdr:to>
    <xdr:sp>
      <xdr:nvSpPr>
        <xdr:cNvPr id="13" name="Text Box 23"/>
        <xdr:cNvSpPr txBox="1">
          <a:spLocks noChangeArrowheads="1"/>
        </xdr:cNvSpPr>
      </xdr:nvSpPr>
      <xdr:spPr>
        <a:xfrm>
          <a:off x="428625" y="12753975"/>
          <a:ext cx="7677150" cy="3333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major changes in the composition of the Group for the current quarter under review.
</a:t>
          </a:r>
          <a:r>
            <a:rPr lang="en-US" cap="none" sz="11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561975</xdr:colOff>
      <xdr:row>18</xdr:row>
      <xdr:rowOff>0</xdr:rowOff>
    </xdr:to>
    <xdr:sp>
      <xdr:nvSpPr>
        <xdr:cNvPr id="14" name="Text Box 28"/>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5" name="Text Box 29"/>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realised or unrealised,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0</xdr:col>
      <xdr:colOff>409575</xdr:colOff>
      <xdr:row>9</xdr:row>
      <xdr:rowOff>85725</xdr:rowOff>
    </xdr:from>
    <xdr:to>
      <xdr:col>11</xdr:col>
      <xdr:colOff>600075</xdr:colOff>
      <xdr:row>18</xdr:row>
      <xdr:rowOff>57150</xdr:rowOff>
    </xdr:to>
    <xdr:sp>
      <xdr:nvSpPr>
        <xdr:cNvPr id="16" name="Text Box 30"/>
        <xdr:cNvSpPr txBox="1">
          <a:spLocks noChangeArrowheads="1"/>
        </xdr:cNvSpPr>
      </xdr:nvSpPr>
      <xdr:spPr>
        <a:xfrm>
          <a:off x="409575" y="1800225"/>
          <a:ext cx="7743825" cy="13620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interim financial statement are unaudited and have has been prepared in accordance with Paragraph 16, MASB 26 Interim Financial Reporting and Chapter 7 Part VI of the Listing Requirements of Bursa Malaysia Securities Berhad’s (“Bursa Securities”) for MESDAQ Market.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accounting policies adopted by CBS Technology Berhad and its subsidiary companies (“Group”) in this interim financial statements are consistent with those adopted for in the audited financial statements  for the financial year ended 31 December 2004.</a:t>
          </a:r>
        </a:p>
      </xdr:txBody>
    </xdr:sp>
    <xdr:clientData/>
  </xdr:twoCellAnchor>
  <xdr:twoCellAnchor>
    <xdr:from>
      <xdr:col>2</xdr:col>
      <xdr:colOff>0</xdr:colOff>
      <xdr:row>18</xdr:row>
      <xdr:rowOff>0</xdr:rowOff>
    </xdr:from>
    <xdr:to>
      <xdr:col>11</xdr:col>
      <xdr:colOff>542925</xdr:colOff>
      <xdr:row>18</xdr:row>
      <xdr:rowOff>0</xdr:rowOff>
    </xdr:to>
    <xdr:sp>
      <xdr:nvSpPr>
        <xdr:cNvPr id="17" name="Text Box 31"/>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18" name="Text Box 3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19" name="Text Box 33"/>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20" name="Text Box 35"/>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21" name="Text Box 36"/>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22" name="Text Box 37"/>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23" name="Text Box 38"/>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2</xdr:col>
      <xdr:colOff>0</xdr:colOff>
      <xdr:row>18</xdr:row>
      <xdr:rowOff>0</xdr:rowOff>
    </xdr:from>
    <xdr:to>
      <xdr:col>11</xdr:col>
      <xdr:colOff>552450</xdr:colOff>
      <xdr:row>18</xdr:row>
      <xdr:rowOff>0</xdr:rowOff>
    </xdr:to>
    <xdr:sp>
      <xdr:nvSpPr>
        <xdr:cNvPr id="24" name="Text Box 39"/>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5" name="Text Box 40"/>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0</xdr:col>
      <xdr:colOff>409575</xdr:colOff>
      <xdr:row>20</xdr:row>
      <xdr:rowOff>104775</xdr:rowOff>
    </xdr:from>
    <xdr:to>
      <xdr:col>11</xdr:col>
      <xdr:colOff>523875</xdr:colOff>
      <xdr:row>22</xdr:row>
      <xdr:rowOff>85725</xdr:rowOff>
    </xdr:to>
    <xdr:sp>
      <xdr:nvSpPr>
        <xdr:cNvPr id="26" name="Text Box 42"/>
        <xdr:cNvSpPr txBox="1">
          <a:spLocks noChangeArrowheads="1"/>
        </xdr:cNvSpPr>
      </xdr:nvSpPr>
      <xdr:spPr>
        <a:xfrm>
          <a:off x="409575" y="3629025"/>
          <a:ext cx="7667625" cy="4000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audit report of the preceeding financial statements for the year end 31 December 2004 was not subject to any audit qualification.</a:t>
          </a:r>
        </a:p>
      </xdr:txBody>
    </xdr:sp>
    <xdr:clientData/>
  </xdr:twoCellAnchor>
  <xdr:twoCellAnchor>
    <xdr:from>
      <xdr:col>1</xdr:col>
      <xdr:colOff>38100</xdr:colOff>
      <xdr:row>24</xdr:row>
      <xdr:rowOff>114300</xdr:rowOff>
    </xdr:from>
    <xdr:to>
      <xdr:col>11</xdr:col>
      <xdr:colOff>590550</xdr:colOff>
      <xdr:row>26</xdr:row>
      <xdr:rowOff>76200</xdr:rowOff>
    </xdr:to>
    <xdr:sp>
      <xdr:nvSpPr>
        <xdr:cNvPr id="27" name="Text Box 43"/>
        <xdr:cNvSpPr txBox="1">
          <a:spLocks noChangeArrowheads="1"/>
        </xdr:cNvSpPr>
      </xdr:nvSpPr>
      <xdr:spPr>
        <a:xfrm>
          <a:off x="466725" y="4476750"/>
          <a:ext cx="7677150"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results of the Group were not materially affected by any significant seasonal or cyclical factors during the current quarter under review.</a:t>
          </a:r>
        </a:p>
      </xdr:txBody>
    </xdr:sp>
    <xdr:clientData/>
  </xdr:twoCellAnchor>
  <xdr:twoCellAnchor>
    <xdr:from>
      <xdr:col>1</xdr:col>
      <xdr:colOff>66675</xdr:colOff>
      <xdr:row>28</xdr:row>
      <xdr:rowOff>104775</xdr:rowOff>
    </xdr:from>
    <xdr:to>
      <xdr:col>11</xdr:col>
      <xdr:colOff>590550</xdr:colOff>
      <xdr:row>30</xdr:row>
      <xdr:rowOff>66675</xdr:rowOff>
    </xdr:to>
    <xdr:sp>
      <xdr:nvSpPr>
        <xdr:cNvPr id="28" name="Text Box 44"/>
        <xdr:cNvSpPr txBox="1">
          <a:spLocks noChangeArrowheads="1"/>
        </xdr:cNvSpPr>
      </xdr:nvSpPr>
      <xdr:spPr>
        <a:xfrm>
          <a:off x="495300" y="5305425"/>
          <a:ext cx="7648575"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unusual items affecting assets, liabilities, equity, net income or cash flow during the current quarter under review.</a:t>
          </a:r>
        </a:p>
      </xdr:txBody>
    </xdr:sp>
    <xdr:clientData/>
  </xdr:twoCellAnchor>
  <xdr:twoCellAnchor>
    <xdr:from>
      <xdr:col>0</xdr:col>
      <xdr:colOff>409575</xdr:colOff>
      <xdr:row>32</xdr:row>
      <xdr:rowOff>123825</xdr:rowOff>
    </xdr:from>
    <xdr:to>
      <xdr:col>11</xdr:col>
      <xdr:colOff>542925</xdr:colOff>
      <xdr:row>34</xdr:row>
      <xdr:rowOff>161925</xdr:rowOff>
    </xdr:to>
    <xdr:sp>
      <xdr:nvSpPr>
        <xdr:cNvPr id="29" name="Text Box 45"/>
        <xdr:cNvSpPr txBox="1">
          <a:spLocks noChangeArrowheads="1"/>
        </xdr:cNvSpPr>
      </xdr:nvSpPr>
      <xdr:spPr>
        <a:xfrm>
          <a:off x="409575" y="6162675"/>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changes in estimates of amounts in prior financial period, which have a material effect in the current quarter under review.</a:t>
          </a:r>
        </a:p>
      </xdr:txBody>
    </xdr:sp>
    <xdr:clientData/>
  </xdr:twoCellAnchor>
  <xdr:twoCellAnchor>
    <xdr:from>
      <xdr:col>0</xdr:col>
      <xdr:colOff>390525</xdr:colOff>
      <xdr:row>47</xdr:row>
      <xdr:rowOff>114300</xdr:rowOff>
    </xdr:from>
    <xdr:to>
      <xdr:col>11</xdr:col>
      <xdr:colOff>523875</xdr:colOff>
      <xdr:row>49</xdr:row>
      <xdr:rowOff>0</xdr:rowOff>
    </xdr:to>
    <xdr:sp>
      <xdr:nvSpPr>
        <xdr:cNvPr id="30" name="Text Box 46"/>
        <xdr:cNvSpPr txBox="1">
          <a:spLocks noChangeArrowheads="1"/>
        </xdr:cNvSpPr>
      </xdr:nvSpPr>
      <xdr:spPr>
        <a:xfrm>
          <a:off x="390525" y="9296400"/>
          <a:ext cx="7686675"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dividend paid for the quarter under review.</a:t>
          </a:r>
        </a:p>
      </xdr:txBody>
    </xdr:sp>
    <xdr:clientData/>
  </xdr:twoCellAnchor>
  <xdr:twoCellAnchor>
    <xdr:from>
      <xdr:col>1</xdr:col>
      <xdr:colOff>47625</xdr:colOff>
      <xdr:row>56</xdr:row>
      <xdr:rowOff>104775</xdr:rowOff>
    </xdr:from>
    <xdr:to>
      <xdr:col>11</xdr:col>
      <xdr:colOff>571500</xdr:colOff>
      <xdr:row>58</xdr:row>
      <xdr:rowOff>28575</xdr:rowOff>
    </xdr:to>
    <xdr:sp>
      <xdr:nvSpPr>
        <xdr:cNvPr id="31" name="Text Box 47"/>
        <xdr:cNvSpPr txBox="1">
          <a:spLocks noChangeArrowheads="1"/>
        </xdr:cNvSpPr>
      </xdr:nvSpPr>
      <xdr:spPr>
        <a:xfrm>
          <a:off x="476250" y="11077575"/>
          <a:ext cx="7648575"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revalue any of its property, plant and equipment during the current quarter under review.</a:t>
          </a:r>
        </a:p>
      </xdr:txBody>
    </xdr:sp>
    <xdr:clientData/>
  </xdr:twoCellAnchor>
  <xdr:twoCellAnchor>
    <xdr:from>
      <xdr:col>0</xdr:col>
      <xdr:colOff>409575</xdr:colOff>
      <xdr:row>60</xdr:row>
      <xdr:rowOff>76200</xdr:rowOff>
    </xdr:from>
    <xdr:to>
      <xdr:col>11</xdr:col>
      <xdr:colOff>542925</xdr:colOff>
      <xdr:row>62</xdr:row>
      <xdr:rowOff>114300</xdr:rowOff>
    </xdr:to>
    <xdr:sp>
      <xdr:nvSpPr>
        <xdr:cNvPr id="32" name="Text Box 48"/>
        <xdr:cNvSpPr txBox="1">
          <a:spLocks noChangeArrowheads="1"/>
        </xdr:cNvSpPr>
      </xdr:nvSpPr>
      <xdr:spPr>
        <a:xfrm>
          <a:off x="409575" y="11887200"/>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As at the date of this report, there were no material events subsequent to the end of the current quarter reported on that have not been reflected in the quarter financial statement.</a:t>
          </a:r>
        </a:p>
      </xdr:txBody>
    </xdr:sp>
    <xdr:clientData/>
  </xdr:twoCellAnchor>
  <xdr:twoCellAnchor>
    <xdr:from>
      <xdr:col>0</xdr:col>
      <xdr:colOff>409575</xdr:colOff>
      <xdr:row>68</xdr:row>
      <xdr:rowOff>76200</xdr:rowOff>
    </xdr:from>
    <xdr:to>
      <xdr:col>11</xdr:col>
      <xdr:colOff>561975</xdr:colOff>
      <xdr:row>69</xdr:row>
      <xdr:rowOff>133350</xdr:rowOff>
    </xdr:to>
    <xdr:sp>
      <xdr:nvSpPr>
        <xdr:cNvPr id="33" name="Text Box 50"/>
        <xdr:cNvSpPr txBox="1">
          <a:spLocks noChangeArrowheads="1"/>
        </xdr:cNvSpPr>
      </xdr:nvSpPr>
      <xdr:spPr>
        <a:xfrm>
          <a:off x="409575" y="13601700"/>
          <a:ext cx="7705725" cy="266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contingent liabilities or contingent asset for the current quarter under review.</a:t>
          </a:r>
        </a:p>
      </xdr:txBody>
    </xdr:sp>
    <xdr:clientData/>
  </xdr:twoCellAnchor>
  <xdr:twoCellAnchor>
    <xdr:from>
      <xdr:col>1</xdr:col>
      <xdr:colOff>38100</xdr:colOff>
      <xdr:row>72</xdr:row>
      <xdr:rowOff>123825</xdr:rowOff>
    </xdr:from>
    <xdr:to>
      <xdr:col>11</xdr:col>
      <xdr:colOff>600075</xdr:colOff>
      <xdr:row>73</xdr:row>
      <xdr:rowOff>161925</xdr:rowOff>
    </xdr:to>
    <xdr:sp>
      <xdr:nvSpPr>
        <xdr:cNvPr id="34" name="Text Box 52"/>
        <xdr:cNvSpPr txBox="1">
          <a:spLocks noChangeArrowheads="1"/>
        </xdr:cNvSpPr>
      </xdr:nvSpPr>
      <xdr:spPr>
        <a:xfrm>
          <a:off x="466725" y="14487525"/>
          <a:ext cx="7686675" cy="2476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significant related pary transactions during the current quarter under review.</a:t>
          </a:r>
        </a:p>
      </xdr:txBody>
    </xdr:sp>
    <xdr:clientData/>
  </xdr:twoCellAnchor>
  <xdr:twoCellAnchor>
    <xdr:from>
      <xdr:col>0</xdr:col>
      <xdr:colOff>371475</xdr:colOff>
      <xdr:row>41</xdr:row>
      <xdr:rowOff>180975</xdr:rowOff>
    </xdr:from>
    <xdr:to>
      <xdr:col>11</xdr:col>
      <xdr:colOff>409575</xdr:colOff>
      <xdr:row>45</xdr:row>
      <xdr:rowOff>85725</xdr:rowOff>
    </xdr:to>
    <xdr:sp>
      <xdr:nvSpPr>
        <xdr:cNvPr id="35" name="Text Box 53"/>
        <xdr:cNvSpPr txBox="1">
          <a:spLocks noChangeArrowheads="1"/>
        </xdr:cNvSpPr>
      </xdr:nvSpPr>
      <xdr:spPr>
        <a:xfrm>
          <a:off x="371475" y="8105775"/>
          <a:ext cx="7591425" cy="742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Save as disclosed above, there were no issuance and repayment of debt securities, share buy-back, share cancellation, shares held as treasury shares and resale of treasury shares for the current quarter under review.
</a:t>
          </a:r>
        </a:p>
      </xdr:txBody>
    </xdr:sp>
    <xdr:clientData/>
  </xdr:twoCellAnchor>
  <xdr:twoCellAnchor>
    <xdr:from>
      <xdr:col>0</xdr:col>
      <xdr:colOff>371475</xdr:colOff>
      <xdr:row>80</xdr:row>
      <xdr:rowOff>9525</xdr:rowOff>
    </xdr:from>
    <xdr:to>
      <xdr:col>11</xdr:col>
      <xdr:colOff>381000</xdr:colOff>
      <xdr:row>85</xdr:row>
      <xdr:rowOff>47625</xdr:rowOff>
    </xdr:to>
    <xdr:sp>
      <xdr:nvSpPr>
        <xdr:cNvPr id="36" name="Text Box 54"/>
        <xdr:cNvSpPr txBox="1">
          <a:spLocks noChangeArrowheads="1"/>
        </xdr:cNvSpPr>
      </xdr:nvSpPr>
      <xdr:spPr>
        <a:xfrm>
          <a:off x="371475" y="15935325"/>
          <a:ext cx="7562850" cy="9429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achieved a revenue and profit after tax of approximately RM2,834million (Q1 : 4,318million) and RM0.524million (Q1 : RM1.285million) respectively for the quarter under review.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a year to date basis, the Group achieved a revenue and profit after tax of approximately RM2.834million (Q1 : RM4.318million) and RM0.524million (Q1 : RM1.285million) respectively.
</a:t>
          </a:r>
          <a:r>
            <a:rPr lang="en-US" cap="none" sz="1100" b="0" i="0" u="none" baseline="0">
              <a:solidFill>
                <a:srgbClr val="000000"/>
              </a:solidFill>
              <a:latin typeface="Arial"/>
              <a:ea typeface="Arial"/>
              <a:cs typeface="Arial"/>
            </a:rPr>
            <a:t> million respectively.</a:t>
          </a:r>
        </a:p>
      </xdr:txBody>
    </xdr:sp>
    <xdr:clientData/>
  </xdr:twoCellAnchor>
  <xdr:twoCellAnchor>
    <xdr:from>
      <xdr:col>1</xdr:col>
      <xdr:colOff>28575</xdr:colOff>
      <xdr:row>87</xdr:row>
      <xdr:rowOff>152400</xdr:rowOff>
    </xdr:from>
    <xdr:to>
      <xdr:col>11</xdr:col>
      <xdr:colOff>523875</xdr:colOff>
      <xdr:row>97</xdr:row>
      <xdr:rowOff>38100</xdr:rowOff>
    </xdr:to>
    <xdr:sp>
      <xdr:nvSpPr>
        <xdr:cNvPr id="37" name="Text Box 55"/>
        <xdr:cNvSpPr txBox="1">
          <a:spLocks noChangeArrowheads="1"/>
        </xdr:cNvSpPr>
      </xdr:nvSpPr>
      <xdr:spPr>
        <a:xfrm>
          <a:off x="457200" y="17354550"/>
          <a:ext cx="7620000" cy="16954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Current Quarter</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Preceeding Quarte</a:t>
          </a:r>
          <a:r>
            <a:rPr lang="en-US" cap="none" sz="1100" b="0" i="0" u="none" baseline="0">
              <a:solidFill>
                <a:srgbClr val="000000"/>
              </a:solidFill>
              <a:latin typeface="Arial"/>
              <a:ea typeface="Arial"/>
              <a:cs typeface="Arial"/>
            </a:rPr>
            <a:t>r
</a:t>
          </a:r>
          <a:r>
            <a:rPr lang="en-US" cap="none" sz="1100" b="0" i="0" u="none" baseline="0">
              <a:solidFill>
                <a:srgbClr val="000000"/>
              </a:solidFill>
              <a:latin typeface="Arial"/>
              <a:ea typeface="Arial"/>
              <a:cs typeface="Arial"/>
            </a:rPr>
            <a:t>                                                             RM'000                            RM'000
</a:t>
          </a:r>
          <a:r>
            <a:rPr lang="en-US" cap="none" sz="1100" b="0" i="0" u="none" baseline="0">
              <a:solidFill>
                <a:srgbClr val="000000"/>
              </a:solidFill>
              <a:latin typeface="Arial"/>
              <a:ea typeface="Arial"/>
              <a:cs typeface="Arial"/>
            </a:rPr>
            <a:t>Revenue                                               2,834                               4,318
</a:t>
          </a:r>
          <a:r>
            <a:rPr lang="en-US" cap="none" sz="1100" b="0" i="0" u="none" baseline="0">
              <a:solidFill>
                <a:srgbClr val="000000"/>
              </a:solidFill>
              <a:latin typeface="Arial"/>
              <a:ea typeface="Arial"/>
              <a:cs typeface="Arial"/>
            </a:rPr>
            <a:t>Profit After Tax                                     524                                  1,285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the current quarter under review, the Group registered revenue and profit after tax of approximately RM2.834million (Q1 : RM4.318milion) and RM0.524million (Q1 : RM1.285million) respectively. </a:t>
          </a:r>
        </a:p>
      </xdr:txBody>
    </xdr:sp>
    <xdr:clientData/>
  </xdr:twoCellAnchor>
  <xdr:twoCellAnchor>
    <xdr:from>
      <xdr:col>1</xdr:col>
      <xdr:colOff>47625</xdr:colOff>
      <xdr:row>100</xdr:row>
      <xdr:rowOff>104775</xdr:rowOff>
    </xdr:from>
    <xdr:to>
      <xdr:col>11</xdr:col>
      <xdr:colOff>647700</xdr:colOff>
      <xdr:row>107</xdr:row>
      <xdr:rowOff>104775</xdr:rowOff>
    </xdr:to>
    <xdr:sp>
      <xdr:nvSpPr>
        <xdr:cNvPr id="38" name="Text Box 56"/>
        <xdr:cNvSpPr txBox="1">
          <a:spLocks noChangeArrowheads="1"/>
        </xdr:cNvSpPr>
      </xdr:nvSpPr>
      <xdr:spPr>
        <a:xfrm>
          <a:off x="476250" y="19669125"/>
          <a:ext cx="7724775" cy="12668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Prudent expenditure management and  strategic marketing efforts will continue to be one of the tool to further improve its performance for the next financial year. CBS has embarked in a joint venture partnership with a Swiss company as part of its expansion programme to market its products and solutions in Europe and potentially the Middle East. CBS will also be participating in the prestigious CeBIT exhibition in Hanover, Germany in March 2005 with the aim to create market awareness of CBS's RFID solution in that region. CBS will also be venturing into selected countries that have sizeable markets for e-security and RFID solutions applications.</a:t>
          </a:r>
        </a:p>
      </xdr:txBody>
    </xdr:sp>
    <xdr:clientData/>
  </xdr:twoCellAnchor>
  <xdr:twoCellAnchor>
    <xdr:from>
      <xdr:col>1</xdr:col>
      <xdr:colOff>9525</xdr:colOff>
      <xdr:row>110</xdr:row>
      <xdr:rowOff>76200</xdr:rowOff>
    </xdr:from>
    <xdr:to>
      <xdr:col>11</xdr:col>
      <xdr:colOff>371475</xdr:colOff>
      <xdr:row>112</xdr:row>
      <xdr:rowOff>9525</xdr:rowOff>
    </xdr:to>
    <xdr:sp>
      <xdr:nvSpPr>
        <xdr:cNvPr id="39" name="Text Box 57"/>
        <xdr:cNvSpPr txBox="1">
          <a:spLocks noChangeArrowheads="1"/>
        </xdr:cNvSpPr>
      </xdr:nvSpPr>
      <xdr:spPr>
        <a:xfrm>
          <a:off x="438150" y="21459825"/>
          <a:ext cx="7486650" cy="2952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has not provided any profit forecast / guarantee and thus this is not applicable to the Group.</a:t>
          </a:r>
        </a:p>
      </xdr:txBody>
    </xdr:sp>
    <xdr:clientData/>
  </xdr:twoCellAnchor>
  <xdr:twoCellAnchor>
    <xdr:from>
      <xdr:col>1</xdr:col>
      <xdr:colOff>0</xdr:colOff>
      <xdr:row>126</xdr:row>
      <xdr:rowOff>142875</xdr:rowOff>
    </xdr:from>
    <xdr:to>
      <xdr:col>11</xdr:col>
      <xdr:colOff>314325</xdr:colOff>
      <xdr:row>130</xdr:row>
      <xdr:rowOff>57150</xdr:rowOff>
    </xdr:to>
    <xdr:sp>
      <xdr:nvSpPr>
        <xdr:cNvPr id="40" name="Text Box 58"/>
        <xdr:cNvSpPr txBox="1">
          <a:spLocks noChangeArrowheads="1"/>
        </xdr:cNvSpPr>
      </xdr:nvSpPr>
      <xdr:spPr>
        <a:xfrm>
          <a:off x="428625" y="24536400"/>
          <a:ext cx="7439025" cy="647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effective tax rate is lower than the statutory tax rate for the current quarter under review mainly due to pioneer status granted to it's subsidiary company Netgen Sdn Bhd which exempts its income from taxation for a period of 5 years commencing from 26 September 2003.</a:t>
          </a:r>
        </a:p>
      </xdr:txBody>
    </xdr:sp>
    <xdr:clientData/>
  </xdr:twoCellAnchor>
  <xdr:twoCellAnchor>
    <xdr:from>
      <xdr:col>0</xdr:col>
      <xdr:colOff>409575</xdr:colOff>
      <xdr:row>132</xdr:row>
      <xdr:rowOff>76200</xdr:rowOff>
    </xdr:from>
    <xdr:to>
      <xdr:col>11</xdr:col>
      <xdr:colOff>342900</xdr:colOff>
      <xdr:row>134</xdr:row>
      <xdr:rowOff>57150</xdr:rowOff>
    </xdr:to>
    <xdr:sp>
      <xdr:nvSpPr>
        <xdr:cNvPr id="41" name="Text Box 59"/>
        <xdr:cNvSpPr txBox="1">
          <a:spLocks noChangeArrowheads="1"/>
        </xdr:cNvSpPr>
      </xdr:nvSpPr>
      <xdr:spPr>
        <a:xfrm>
          <a:off x="409575" y="25574625"/>
          <a:ext cx="7486650"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disposals of unquoted investments or properties for the current quarter under review. </a:t>
          </a:r>
        </a:p>
      </xdr:txBody>
    </xdr:sp>
    <xdr:clientData/>
  </xdr:twoCellAnchor>
  <xdr:twoCellAnchor>
    <xdr:from>
      <xdr:col>0</xdr:col>
      <xdr:colOff>409575</xdr:colOff>
      <xdr:row>136</xdr:row>
      <xdr:rowOff>114300</xdr:rowOff>
    </xdr:from>
    <xdr:to>
      <xdr:col>11</xdr:col>
      <xdr:colOff>342900</xdr:colOff>
      <xdr:row>138</xdr:row>
      <xdr:rowOff>114300</xdr:rowOff>
    </xdr:to>
    <xdr:sp>
      <xdr:nvSpPr>
        <xdr:cNvPr id="42" name="Text Box 60"/>
        <xdr:cNvSpPr txBox="1">
          <a:spLocks noChangeArrowheads="1"/>
        </xdr:cNvSpPr>
      </xdr:nvSpPr>
      <xdr:spPr>
        <a:xfrm>
          <a:off x="409575" y="26346150"/>
          <a:ext cx="7486650" cy="361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purchases or sales of quoted securities by the Group in the current quarter under review.</a:t>
          </a:r>
        </a:p>
      </xdr:txBody>
    </xdr:sp>
    <xdr:clientData/>
  </xdr:twoCellAnchor>
  <xdr:twoCellAnchor>
    <xdr:from>
      <xdr:col>0</xdr:col>
      <xdr:colOff>409575</xdr:colOff>
      <xdr:row>141</xdr:row>
      <xdr:rowOff>76200</xdr:rowOff>
    </xdr:from>
    <xdr:to>
      <xdr:col>11</xdr:col>
      <xdr:colOff>342900</xdr:colOff>
      <xdr:row>147</xdr:row>
      <xdr:rowOff>133350</xdr:rowOff>
    </xdr:to>
    <xdr:sp>
      <xdr:nvSpPr>
        <xdr:cNvPr id="43" name="Text Box 61"/>
        <xdr:cNvSpPr txBox="1">
          <a:spLocks noChangeArrowheads="1"/>
        </xdr:cNvSpPr>
      </xdr:nvSpPr>
      <xdr:spPr>
        <a:xfrm>
          <a:off x="409575" y="27222450"/>
          <a:ext cx="7486650" cy="11334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are no corporate proposals announced but not completed as at the date of this announcement.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at the date of this report, approximately RM0.001 million of the proceeds from the listing exercise have been utilised for listing expenses, research and development and working capital purposes. The balance of the proceeds are maintained in the financial institutions in the form of short term interest bearing accounts.
</a:t>
          </a:r>
        </a:p>
      </xdr:txBody>
    </xdr:sp>
    <xdr:clientData/>
  </xdr:twoCellAnchor>
  <xdr:twoCellAnchor>
    <xdr:from>
      <xdr:col>1</xdr:col>
      <xdr:colOff>0</xdr:colOff>
      <xdr:row>151</xdr:row>
      <xdr:rowOff>142875</xdr:rowOff>
    </xdr:from>
    <xdr:to>
      <xdr:col>11</xdr:col>
      <xdr:colOff>361950</xdr:colOff>
      <xdr:row>153</xdr:row>
      <xdr:rowOff>85725</xdr:rowOff>
    </xdr:to>
    <xdr:sp>
      <xdr:nvSpPr>
        <xdr:cNvPr id="44" name="Text Box 62"/>
        <xdr:cNvSpPr txBox="1">
          <a:spLocks noChangeArrowheads="1"/>
        </xdr:cNvSpPr>
      </xdr:nvSpPr>
      <xdr:spPr>
        <a:xfrm>
          <a:off x="428625" y="29098875"/>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borrowings or debt securities by the Group in the current quarter under review.</a:t>
          </a:r>
        </a:p>
      </xdr:txBody>
    </xdr:sp>
    <xdr:clientData/>
  </xdr:twoCellAnchor>
  <xdr:twoCellAnchor>
    <xdr:from>
      <xdr:col>1</xdr:col>
      <xdr:colOff>9525</xdr:colOff>
      <xdr:row>156</xdr:row>
      <xdr:rowOff>76200</xdr:rowOff>
    </xdr:from>
    <xdr:to>
      <xdr:col>11</xdr:col>
      <xdr:colOff>371475</xdr:colOff>
      <xdr:row>158</xdr:row>
      <xdr:rowOff>19050</xdr:rowOff>
    </xdr:to>
    <xdr:sp>
      <xdr:nvSpPr>
        <xdr:cNvPr id="45" name="Text Box 63"/>
        <xdr:cNvSpPr txBox="1">
          <a:spLocks noChangeArrowheads="1"/>
        </xdr:cNvSpPr>
      </xdr:nvSpPr>
      <xdr:spPr>
        <a:xfrm>
          <a:off x="438150" y="29946600"/>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have any off balance sheet financial instruments.</a:t>
          </a:r>
        </a:p>
      </xdr:txBody>
    </xdr:sp>
    <xdr:clientData/>
  </xdr:twoCellAnchor>
  <xdr:twoCellAnchor>
    <xdr:from>
      <xdr:col>0</xdr:col>
      <xdr:colOff>409575</xdr:colOff>
      <xdr:row>160</xdr:row>
      <xdr:rowOff>104775</xdr:rowOff>
    </xdr:from>
    <xdr:to>
      <xdr:col>11</xdr:col>
      <xdr:colOff>342900</xdr:colOff>
      <xdr:row>164</xdr:row>
      <xdr:rowOff>47625</xdr:rowOff>
    </xdr:to>
    <xdr:sp>
      <xdr:nvSpPr>
        <xdr:cNvPr id="46" name="Text Box 64"/>
        <xdr:cNvSpPr txBox="1">
          <a:spLocks noChangeArrowheads="1"/>
        </xdr:cNvSpPr>
      </xdr:nvSpPr>
      <xdr:spPr>
        <a:xfrm>
          <a:off x="409575" y="3070860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is not engaged in any material litigation either as plaintiff or defendent and the Directors do not have any knowledge of any proceedings pending or threatened against the Group as at the date of this report.</a:t>
          </a:r>
        </a:p>
      </xdr:txBody>
    </xdr:sp>
    <xdr:clientData/>
  </xdr:twoCellAnchor>
  <xdr:twoCellAnchor>
    <xdr:from>
      <xdr:col>2</xdr:col>
      <xdr:colOff>9525</xdr:colOff>
      <xdr:row>18</xdr:row>
      <xdr:rowOff>0</xdr:rowOff>
    </xdr:from>
    <xdr:to>
      <xdr:col>11</xdr:col>
      <xdr:colOff>600075</xdr:colOff>
      <xdr:row>18</xdr:row>
      <xdr:rowOff>0</xdr:rowOff>
    </xdr:to>
    <xdr:sp>
      <xdr:nvSpPr>
        <xdr:cNvPr id="47" name="Text Box 65"/>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consolidated financial statements incorporated the financial statements of CBS and its subsidiary companies, Cyber Business Solutions Sdn Bhd and Netgen Sdn Bhd as at 31 March 2004, which have been prepared in accordance with the Group's accounting policies.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intercompany transactions, balances and unrealised gains on transactions between the group companies are eliminated; unrealised losses are also eliminated on consolidation unless cost cannot be recovered.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financial statements of the Company and its subsidiaries are all drawn up to the same reporting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Minority interest, if any is measured at the minorities' share of the post acquisition fair values of the indentifiable assets and liabilities of the subsidiary companies.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Subsidiary companies are consolidated using the acquisition method of accounting from the date on which control is transferred to the Group of the Company and are no longer consolidated from the date that control ceases.  The difference between the acquisition cost and the fair values of the subsidiary companies' net assets is reflected as goodwill or reserve arising on consolidation.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gain or loss disposal of a subsidiary company is the difference between net disposal proceeds and the Group's share of its net assets together with any unamortised balance of goodwill on acquisition and exchange differences.</a:t>
          </a:r>
        </a:p>
      </xdr:txBody>
    </xdr:sp>
    <xdr:clientData/>
  </xdr:twoCellAnchor>
  <xdr:twoCellAnchor>
    <xdr:from>
      <xdr:col>0</xdr:col>
      <xdr:colOff>409575</xdr:colOff>
      <xdr:row>167</xdr:row>
      <xdr:rowOff>0</xdr:rowOff>
    </xdr:from>
    <xdr:to>
      <xdr:col>11</xdr:col>
      <xdr:colOff>342900</xdr:colOff>
      <xdr:row>168</xdr:row>
      <xdr:rowOff>142875</xdr:rowOff>
    </xdr:to>
    <xdr:sp>
      <xdr:nvSpPr>
        <xdr:cNvPr id="48" name="Text Box 66"/>
        <xdr:cNvSpPr txBox="1">
          <a:spLocks noChangeArrowheads="1"/>
        </xdr:cNvSpPr>
      </xdr:nvSpPr>
      <xdr:spPr>
        <a:xfrm>
          <a:off x="409575" y="31880175"/>
          <a:ext cx="7486650" cy="3238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No dividend has been declared or paid during the current quarter under review.</a:t>
          </a:r>
        </a:p>
      </xdr:txBody>
    </xdr:sp>
    <xdr:clientData/>
  </xdr:twoCellAnchor>
  <xdr:twoCellAnchor>
    <xdr:from>
      <xdr:col>1</xdr:col>
      <xdr:colOff>28575</xdr:colOff>
      <xdr:row>172</xdr:row>
      <xdr:rowOff>142875</xdr:rowOff>
    </xdr:from>
    <xdr:to>
      <xdr:col>11</xdr:col>
      <xdr:colOff>390525</xdr:colOff>
      <xdr:row>176</xdr:row>
      <xdr:rowOff>85725</xdr:rowOff>
    </xdr:to>
    <xdr:sp>
      <xdr:nvSpPr>
        <xdr:cNvPr id="49" name="Text Box 67"/>
        <xdr:cNvSpPr txBox="1">
          <a:spLocks noChangeArrowheads="1"/>
        </xdr:cNvSpPr>
      </xdr:nvSpPr>
      <xdr:spPr>
        <a:xfrm>
          <a:off x="457200" y="3293745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basic earnings per share of 4.13 (Q1 : 2.33 ) sen is calculated by dividing net profit attributable to members of CBS Technology Berhad of RM524,456 (Q1 : RM1,284,662) by the weighted average number of ordinary shares of RM0.10 each in issue of 97,232,260 (Q1 : 55,149,894) for the current quarter ended 31st March 2005.</a:t>
          </a:r>
        </a:p>
      </xdr:txBody>
    </xdr:sp>
    <xdr:clientData/>
  </xdr:twoCellAnchor>
  <xdr:twoCellAnchor>
    <xdr:from>
      <xdr:col>1</xdr:col>
      <xdr:colOff>28575</xdr:colOff>
      <xdr:row>180</xdr:row>
      <xdr:rowOff>142875</xdr:rowOff>
    </xdr:from>
    <xdr:to>
      <xdr:col>11</xdr:col>
      <xdr:colOff>390525</xdr:colOff>
      <xdr:row>183</xdr:row>
      <xdr:rowOff>66675</xdr:rowOff>
    </xdr:to>
    <xdr:sp>
      <xdr:nvSpPr>
        <xdr:cNvPr id="50" name="Text Box 68"/>
        <xdr:cNvSpPr txBox="1">
          <a:spLocks noChangeArrowheads="1"/>
        </xdr:cNvSpPr>
      </xdr:nvSpPr>
      <xdr:spPr>
        <a:xfrm>
          <a:off x="457200" y="34394775"/>
          <a:ext cx="7486650" cy="4667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forth quarter financial statements were authorised for issue by the Board of Directors in accordance with a resolution of the directors on 16 Feb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95250</xdr:rowOff>
    </xdr:from>
    <xdr:to>
      <xdr:col>5</xdr:col>
      <xdr:colOff>0</xdr:colOff>
      <xdr:row>4</xdr:row>
      <xdr:rowOff>95250</xdr:rowOff>
    </xdr:to>
    <xdr:sp>
      <xdr:nvSpPr>
        <xdr:cNvPr id="1" name="Line 1"/>
        <xdr:cNvSpPr>
          <a:spLocks/>
        </xdr:cNvSpPr>
      </xdr:nvSpPr>
      <xdr:spPr>
        <a:xfrm>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xdr:row>
      <xdr:rowOff>95250</xdr:rowOff>
    </xdr:from>
    <xdr:to>
      <xdr:col>5</xdr:col>
      <xdr:colOff>0</xdr:colOff>
      <xdr:row>4</xdr:row>
      <xdr:rowOff>95250</xdr:rowOff>
    </xdr:to>
    <xdr:sp>
      <xdr:nvSpPr>
        <xdr:cNvPr id="2" name="Line 2"/>
        <xdr:cNvSpPr>
          <a:spLocks/>
        </xdr:cNvSpPr>
      </xdr:nvSpPr>
      <xdr:spPr>
        <a:xfrm flipH="1">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ohdHeizrin\My%20Documents\General\Samples\Sample%20of%20reports\Seawards-Consol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OLK18\Copy%20of%20CBS%20Qtr%20ended%2030.9.2004-Cons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20Documents\ES%20CERAMICS\Consol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ES%20CERAMICS\Consol%20YE%202010\Consol%203Q%20YE%202010%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CFS"/>
      <sheetName val="PAJE"/>
      <sheetName val="CAJE"/>
      <sheetName val="NTA"/>
      <sheetName val="PBT"/>
      <sheetName val="Total PPE"/>
      <sheetName val="L&amp;B"/>
      <sheetName val="PPE"/>
      <sheetName val="MI"/>
      <sheetName val="Interco"/>
      <sheetName val="Disposal"/>
      <sheetName val="Reserve"/>
      <sheetName val="CF on disposal"/>
      <sheetName val="GT_Custom"/>
    </sheetNames>
    <sheetDataSet>
      <sheetData sheetId="0">
        <row r="30">
          <cell r="C30">
            <v>8020016</v>
          </cell>
          <cell r="D30">
            <v>1574402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K Consol adj"/>
      <sheetName val="PL Condensed"/>
      <sheetName val="PL"/>
      <sheetName val="Balance Sheet"/>
      <sheetName val="Balance Sheet Condensed"/>
      <sheetName val="EquityCondensed"/>
      <sheetName val=" Cash FlowCondensed"/>
      <sheetName val="WK Cashflow worksheet"/>
      <sheetName val="Notes MASB &amp; MSEB Requirement "/>
    </sheetNames>
    <sheetDataSet>
      <sheetData sheetId="7">
        <row r="15">
          <cell r="K15">
            <v>-46470</v>
          </cell>
        </row>
        <row r="90">
          <cell r="D90">
            <v>3987611.4299999997</v>
          </cell>
        </row>
        <row r="91">
          <cell r="D91">
            <v>586605.15</v>
          </cell>
        </row>
        <row r="92">
          <cell r="D92">
            <v>2742633.65</v>
          </cell>
        </row>
        <row r="93">
          <cell r="D93">
            <v>1304559.83</v>
          </cell>
        </row>
        <row r="94">
          <cell r="D94">
            <v>-357089.36</v>
          </cell>
        </row>
        <row r="95">
          <cell r="D95">
            <v>-4288484.87</v>
          </cell>
        </row>
        <row r="97">
          <cell r="D97">
            <v>-5723226</v>
          </cell>
        </row>
        <row r="98">
          <cell r="D98">
            <v>-3987611.4299999997</v>
          </cell>
        </row>
        <row r="99">
          <cell r="D99">
            <v>1747390.8900000001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PL"/>
      <sheetName val="CBS"/>
      <sheetName val="ESCT-PL"/>
      <sheetName val="ES-PL"/>
      <sheetName val="MC-PL"/>
      <sheetName val="GTR-PL"/>
      <sheetName val="GTRT-PL"/>
      <sheetName val="Relates Parties"/>
      <sheetName val="Interest,Others Income,Depr"/>
      <sheetName val="GTRT-BS"/>
      <sheetName val="ESCT-BS"/>
      <sheetName val="ES-BS"/>
      <sheetName val="MC-BS"/>
      <sheetName val="GTR-BS"/>
      <sheetName val="ES-MA"/>
      <sheetName val="MC-MA"/>
      <sheetName val="GTR-MA"/>
      <sheetName val="GTRT-MA"/>
    </sheetNames>
    <sheetDataSet>
      <sheetData sheetId="1">
        <row r="14">
          <cell r="W14">
            <v>1500000</v>
          </cell>
        </row>
        <row r="56">
          <cell r="W56">
            <v>5296700</v>
          </cell>
        </row>
        <row r="58">
          <cell r="W58">
            <v>3815775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CT-FA"/>
      <sheetName val="PL-ESCT"/>
      <sheetName val="PL-ES"/>
      <sheetName val="PL-MC"/>
      <sheetName val="PL-GTR"/>
      <sheetName val="PL-GTRT"/>
      <sheetName val="PL-ECT"/>
      <sheetName val="CJE"/>
      <sheetName val="CF"/>
      <sheetName val="Proofing"/>
      <sheetName val="CPL"/>
      <sheetName val="CBS"/>
      <sheetName val="BS-ESCT"/>
      <sheetName val="BS-ES"/>
      <sheetName val="BS-MC"/>
      <sheetName val="BS-GTR"/>
      <sheetName val="BS-GTRT"/>
      <sheetName val="BS-ECT"/>
      <sheetName val="Relates Parties"/>
      <sheetName val="Interest,Others Income,Depr"/>
      <sheetName val="MA-ES"/>
      <sheetName val="MA-MC"/>
      <sheetName val="MA-GTR"/>
      <sheetName val="MA-GTRT"/>
      <sheetName val="MA-ECT"/>
    </sheetNames>
    <sheetDataSet>
      <sheetData sheetId="11">
        <row r="9">
          <cell r="W9">
            <v>20966929.384240005</v>
          </cell>
        </row>
        <row r="10">
          <cell r="W10">
            <v>2369454.41984</v>
          </cell>
        </row>
        <row r="14">
          <cell r="W14">
            <v>1500000</v>
          </cell>
        </row>
        <row r="16">
          <cell r="W16">
            <v>2669692.9437556737</v>
          </cell>
        </row>
        <row r="17">
          <cell r="W17">
            <v>905125.1585600001</v>
          </cell>
        </row>
        <row r="18">
          <cell r="W18">
            <v>430183.81</v>
          </cell>
        </row>
        <row r="22">
          <cell r="W22">
            <v>6384310.33208</v>
          </cell>
        </row>
        <row r="23">
          <cell r="W23">
            <v>7632175.13336</v>
          </cell>
        </row>
        <row r="24">
          <cell r="W24">
            <v>544413.26304</v>
          </cell>
        </row>
        <row r="29">
          <cell r="W29">
            <v>888418.35</v>
          </cell>
        </row>
        <row r="30">
          <cell r="W30">
            <v>2368570.4701600005</v>
          </cell>
        </row>
        <row r="36">
          <cell r="W36">
            <v>1200840.54096</v>
          </cell>
        </row>
        <row r="37">
          <cell r="W37">
            <v>655573.7034400001</v>
          </cell>
        </row>
        <row r="42">
          <cell r="W42">
            <v>114432</v>
          </cell>
        </row>
        <row r="43">
          <cell r="W43">
            <v>4895259</v>
          </cell>
        </row>
        <row r="44">
          <cell r="W44">
            <v>576131.85</v>
          </cell>
        </row>
        <row r="45">
          <cell r="W45">
            <v>2032000</v>
          </cell>
        </row>
        <row r="46">
          <cell r="W46">
            <v>21051.749600000003</v>
          </cell>
        </row>
        <row r="56">
          <cell r="W56">
            <v>5306699.6274999995</v>
          </cell>
        </row>
        <row r="58">
          <cell r="W58">
            <v>3821775.3</v>
          </cell>
        </row>
        <row r="60">
          <cell r="W60">
            <v>249027.2</v>
          </cell>
        </row>
        <row r="61">
          <cell r="W61">
            <v>1411018.7246089566</v>
          </cell>
        </row>
        <row r="62">
          <cell r="W62">
            <v>6754507.953306716</v>
          </cell>
        </row>
        <row r="65">
          <cell r="W65">
            <v>245.58</v>
          </cell>
        </row>
        <row r="69">
          <cell r="W69">
            <v>628570</v>
          </cell>
        </row>
        <row r="70">
          <cell r="W70">
            <v>375561.91312</v>
          </cell>
        </row>
        <row r="71">
          <cell r="W71">
            <v>15098283.9</v>
          </cell>
        </row>
        <row r="72">
          <cell r="W72">
            <v>3518293.85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pane ySplit="5" topLeftCell="BM21" activePane="bottomLeft" state="frozen"/>
      <selection pane="topLeft" activeCell="A1" sqref="A1"/>
      <selection pane="bottomLeft" activeCell="D27" sqref="D27"/>
    </sheetView>
  </sheetViews>
  <sheetFormatPr defaultColWidth="9.140625" defaultRowHeight="12.75"/>
  <cols>
    <col min="1" max="1" width="5.140625" style="0" customWidth="1"/>
    <col min="2" max="2" width="13.00390625" style="0" customWidth="1"/>
    <col min="3" max="3" width="19.140625" style="0" customWidth="1"/>
    <col min="4" max="4" width="17.28125" style="1" customWidth="1"/>
    <col min="5" max="6" width="14.8515625" style="1" hidden="1" customWidth="1"/>
    <col min="7" max="8" width="14.00390625" style="0" bestFit="1" customWidth="1"/>
  </cols>
  <sheetData>
    <row r="1" ht="12.75">
      <c r="A1" s="9" t="s">
        <v>0</v>
      </c>
    </row>
    <row r="2" ht="13.5" thickBot="1">
      <c r="A2" s="9" t="s">
        <v>1</v>
      </c>
    </row>
    <row r="3" spans="1:8" ht="13.5" thickBot="1">
      <c r="A3" s="9" t="s">
        <v>482</v>
      </c>
      <c r="E3" s="414" t="s">
        <v>244</v>
      </c>
      <c r="F3" s="414"/>
      <c r="G3" s="415" t="s">
        <v>242</v>
      </c>
      <c r="H3" s="416"/>
    </row>
    <row r="4" spans="5:8" ht="12.75">
      <c r="E4" s="2" t="s">
        <v>2</v>
      </c>
      <c r="F4" s="2" t="s">
        <v>3</v>
      </c>
      <c r="G4" s="120" t="s">
        <v>2</v>
      </c>
      <c r="H4" s="118" t="s">
        <v>3</v>
      </c>
    </row>
    <row r="5" spans="5:8" ht="13.5" thickBot="1">
      <c r="E5" s="2" t="s">
        <v>4</v>
      </c>
      <c r="F5" s="2" t="s">
        <v>4</v>
      </c>
      <c r="G5" s="121" t="s">
        <v>4</v>
      </c>
      <c r="H5" s="119" t="s">
        <v>4</v>
      </c>
    </row>
    <row r="6" spans="1:8" ht="12.75">
      <c r="A6">
        <v>1</v>
      </c>
      <c r="B6" t="s">
        <v>7</v>
      </c>
      <c r="E6" s="1">
        <v>3223226</v>
      </c>
      <c r="G6" s="116">
        <f>+E6</f>
        <v>3223226</v>
      </c>
      <c r="H6" s="123"/>
    </row>
    <row r="7" spans="2:8" ht="12.75">
      <c r="B7" t="s">
        <v>5</v>
      </c>
      <c r="E7" s="1">
        <f>-4284.46+25025</f>
        <v>20740.54</v>
      </c>
      <c r="G7" s="116">
        <f>+E7</f>
        <v>20740.54</v>
      </c>
      <c r="H7" s="123"/>
    </row>
    <row r="8" spans="3:8" ht="12.75">
      <c r="C8" t="s">
        <v>16</v>
      </c>
      <c r="F8" s="1">
        <f>-4284.46+25025</f>
        <v>20740.54</v>
      </c>
      <c r="G8" s="116"/>
      <c r="H8" s="123">
        <f>+F8</f>
        <v>20740.54</v>
      </c>
    </row>
    <row r="9" spans="3:8" ht="12.75">
      <c r="C9" t="s">
        <v>6</v>
      </c>
      <c r="F9" s="1">
        <v>3223226</v>
      </c>
      <c r="G9" s="116"/>
      <c r="H9" s="123">
        <f>+F9</f>
        <v>3223226</v>
      </c>
    </row>
    <row r="10" spans="2:8" ht="12.75">
      <c r="B10" t="s">
        <v>8</v>
      </c>
      <c r="G10" s="116"/>
      <c r="H10" s="123"/>
    </row>
    <row r="11" spans="2:8" ht="12.75">
      <c r="B11" s="3" t="s">
        <v>21</v>
      </c>
      <c r="C11" s="3"/>
      <c r="D11" s="4"/>
      <c r="G11" s="116"/>
      <c r="H11" s="123"/>
    </row>
    <row r="12" spans="2:8" ht="12.75">
      <c r="B12" s="3" t="s">
        <v>9</v>
      </c>
      <c r="C12" s="3"/>
      <c r="D12" s="4">
        <v>3223226</v>
      </c>
      <c r="G12" s="116"/>
      <c r="H12" s="123"/>
    </row>
    <row r="13" spans="2:8" ht="12.75">
      <c r="B13" s="3" t="s">
        <v>10</v>
      </c>
      <c r="C13" s="3"/>
      <c r="D13" s="4"/>
      <c r="G13" s="116"/>
      <c r="H13" s="123"/>
    </row>
    <row r="14" spans="2:8" ht="12.75">
      <c r="B14" s="3" t="s">
        <v>11</v>
      </c>
      <c r="C14" s="3"/>
      <c r="D14" s="5">
        <v>-3223226</v>
      </c>
      <c r="G14" s="116"/>
      <c r="H14" s="123"/>
    </row>
    <row r="15" spans="2:8" ht="12.75">
      <c r="B15" s="3" t="s">
        <v>12</v>
      </c>
      <c r="C15" s="3"/>
      <c r="D15" s="6">
        <v>25025</v>
      </c>
      <c r="G15" s="116"/>
      <c r="H15" s="123"/>
    </row>
    <row r="16" spans="2:8" ht="12.75">
      <c r="B16" s="3" t="s">
        <v>13</v>
      </c>
      <c r="C16" s="3"/>
      <c r="D16" s="7">
        <v>-4284.46</v>
      </c>
      <c r="G16" s="116"/>
      <c r="H16" s="123"/>
    </row>
    <row r="17" spans="2:8" ht="12.75">
      <c r="B17" s="3"/>
      <c r="C17" s="3"/>
      <c r="D17" s="4">
        <f>SUM(D14:D16)</f>
        <v>-3202485.46</v>
      </c>
      <c r="G17" s="116"/>
      <c r="H17" s="123"/>
    </row>
    <row r="18" spans="2:8" ht="13.5" thickBot="1">
      <c r="B18" s="3" t="s">
        <v>14</v>
      </c>
      <c r="C18" s="3"/>
      <c r="D18" s="8">
        <f>D12+D17</f>
        <v>20740.540000000037</v>
      </c>
      <c r="G18" s="116"/>
      <c r="H18" s="123"/>
    </row>
    <row r="19" spans="7:8" ht="13.5" thickTop="1">
      <c r="G19" s="116"/>
      <c r="H19" s="123"/>
    </row>
    <row r="20" spans="7:8" ht="12.75">
      <c r="G20" s="116"/>
      <c r="H20" s="123"/>
    </row>
    <row r="21" spans="1:8" ht="12.75">
      <c r="A21">
        <v>2</v>
      </c>
      <c r="B21" t="s">
        <v>15</v>
      </c>
      <c r="E21" s="1">
        <v>35000</v>
      </c>
      <c r="G21" s="116">
        <f>+E21</f>
        <v>35000</v>
      </c>
      <c r="H21" s="123"/>
    </row>
    <row r="22" spans="2:8" ht="12.75">
      <c r="B22" t="s">
        <v>5</v>
      </c>
      <c r="E22" s="1">
        <f>F24-E21-E23</f>
        <v>1726650.35</v>
      </c>
      <c r="G22" s="116">
        <f>+E22</f>
        <v>1726650.35</v>
      </c>
      <c r="H22" s="123"/>
    </row>
    <row r="23" spans="2:8" ht="12.75">
      <c r="B23" t="s">
        <v>17</v>
      </c>
      <c r="E23" s="1">
        <f>752076-13726.35</f>
        <v>738349.65</v>
      </c>
      <c r="G23" s="116">
        <f>+E23</f>
        <v>738349.65</v>
      </c>
      <c r="H23" s="123"/>
    </row>
    <row r="24" spans="3:8" ht="12.75">
      <c r="C24" t="s">
        <v>18</v>
      </c>
      <c r="F24" s="1">
        <v>2500000</v>
      </c>
      <c r="G24" s="116"/>
      <c r="H24" s="123">
        <f>+F24</f>
        <v>2500000</v>
      </c>
    </row>
    <row r="25" spans="2:8" ht="12.75">
      <c r="B25" t="s">
        <v>19</v>
      </c>
      <c r="G25" s="116"/>
      <c r="H25" s="123"/>
    </row>
    <row r="26" spans="2:8" ht="12.75">
      <c r="B26" s="3" t="s">
        <v>21</v>
      </c>
      <c r="C26" s="3"/>
      <c r="D26" s="4"/>
      <c r="G26" s="116"/>
      <c r="H26" s="123"/>
    </row>
    <row r="27" spans="2:8" ht="12.75">
      <c r="B27" s="3" t="s">
        <v>9</v>
      </c>
      <c r="C27" s="1"/>
      <c r="D27" s="4">
        <v>2500000</v>
      </c>
      <c r="G27" s="116"/>
      <c r="H27" s="123"/>
    </row>
    <row r="28" spans="2:8" ht="12.75">
      <c r="B28" s="3" t="s">
        <v>10</v>
      </c>
      <c r="C28" s="3"/>
      <c r="D28" s="4"/>
      <c r="G28" s="116"/>
      <c r="H28" s="123"/>
    </row>
    <row r="29" spans="2:8" ht="12.75">
      <c r="B29" s="3" t="s">
        <v>11</v>
      </c>
      <c r="C29" s="3"/>
      <c r="D29" s="5">
        <v>-35000</v>
      </c>
      <c r="G29" s="116"/>
      <c r="H29" s="123"/>
    </row>
    <row r="30" spans="2:8" ht="12.75">
      <c r="B30" s="3" t="s">
        <v>69</v>
      </c>
      <c r="C30" s="3"/>
      <c r="D30" s="6">
        <v>-752076</v>
      </c>
      <c r="G30" s="116"/>
      <c r="H30" s="123"/>
    </row>
    <row r="31" spans="2:8" ht="12.75">
      <c r="B31" s="3" t="s">
        <v>20</v>
      </c>
      <c r="C31" s="3"/>
      <c r="D31" s="7">
        <v>13726.35</v>
      </c>
      <c r="G31" s="116"/>
      <c r="H31" s="123"/>
    </row>
    <row r="32" spans="2:8" ht="12.75">
      <c r="B32" s="3"/>
      <c r="C32" s="3"/>
      <c r="D32" s="4">
        <f>SUM(D29:D31)</f>
        <v>-773349.65</v>
      </c>
      <c r="G32" s="116"/>
      <c r="H32" s="123"/>
    </row>
    <row r="33" spans="2:8" ht="13.5" thickBot="1">
      <c r="B33" s="3" t="s">
        <v>14</v>
      </c>
      <c r="C33" s="3"/>
      <c r="D33" s="8">
        <f>D27+D32</f>
        <v>1726650.35</v>
      </c>
      <c r="G33" s="116"/>
      <c r="H33" s="123"/>
    </row>
    <row r="34" spans="7:8" ht="13.5" thickTop="1">
      <c r="G34" s="116"/>
      <c r="H34" s="123"/>
    </row>
    <row r="35" spans="7:8" ht="12.75">
      <c r="G35" s="116"/>
      <c r="H35" s="123"/>
    </row>
    <row r="36" spans="1:8" ht="12.75">
      <c r="A36">
        <v>3</v>
      </c>
      <c r="B36" s="34" t="s">
        <v>78</v>
      </c>
      <c r="E36" s="1">
        <f>(E22+E7)/15/2+(58246.36/2)</f>
        <v>87369.543</v>
      </c>
      <c r="G36" s="116">
        <v>29123.18</v>
      </c>
      <c r="H36" s="123"/>
    </row>
    <row r="37" spans="3:8" ht="12.75">
      <c r="C37" t="s">
        <v>79</v>
      </c>
      <c r="F37" s="1">
        <f>E36</f>
        <v>87369.543</v>
      </c>
      <c r="G37" s="116"/>
      <c r="H37" s="123">
        <f>+G36</f>
        <v>29123.18</v>
      </c>
    </row>
    <row r="38" spans="2:8" ht="12.75">
      <c r="B38" t="s">
        <v>80</v>
      </c>
      <c r="G38" s="116"/>
      <c r="H38" s="123"/>
    </row>
    <row r="39" spans="7:8" ht="12.75">
      <c r="G39" s="116"/>
      <c r="H39" s="123"/>
    </row>
    <row r="40" spans="7:8" ht="12.75">
      <c r="G40" s="116"/>
      <c r="H40" s="123"/>
    </row>
    <row r="41" spans="1:8" ht="12.75">
      <c r="A41">
        <v>4</v>
      </c>
      <c r="B41" t="s">
        <v>0</v>
      </c>
      <c r="E41" s="1">
        <v>53746.29</v>
      </c>
      <c r="G41" s="116">
        <f>53746.29</f>
        <v>53746.29</v>
      </c>
      <c r="H41" s="123"/>
    </row>
    <row r="42" spans="3:8" ht="12.75">
      <c r="C42" t="s">
        <v>46</v>
      </c>
      <c r="F42" s="1">
        <f>E41</f>
        <v>53746.29</v>
      </c>
      <c r="G42" s="116"/>
      <c r="H42" s="123">
        <f>+G41</f>
        <v>53746.29</v>
      </c>
    </row>
    <row r="43" spans="2:8" ht="12.75">
      <c r="B43" t="s">
        <v>72</v>
      </c>
      <c r="G43" s="116"/>
      <c r="H43" s="123"/>
    </row>
    <row r="44" spans="7:8" ht="12.75">
      <c r="G44" s="116"/>
      <c r="H44" s="123"/>
    </row>
    <row r="45" spans="7:8" ht="12.75">
      <c r="G45" s="116"/>
      <c r="H45" s="123"/>
    </row>
    <row r="46" spans="1:8" ht="12.75">
      <c r="A46">
        <v>5</v>
      </c>
      <c r="B46" t="s">
        <v>0</v>
      </c>
      <c r="E46" s="1">
        <f>1591000+900000</f>
        <v>2491000</v>
      </c>
      <c r="G46" s="116">
        <v>2490680</v>
      </c>
      <c r="H46" s="123"/>
    </row>
    <row r="47" spans="3:8" ht="12.75">
      <c r="C47" t="s">
        <v>46</v>
      </c>
      <c r="F47" s="1">
        <f>E46</f>
        <v>2491000</v>
      </c>
      <c r="G47" s="116"/>
      <c r="H47" s="123">
        <f>+G46</f>
        <v>2490680</v>
      </c>
    </row>
    <row r="48" spans="2:8" ht="12.75">
      <c r="B48" t="s">
        <v>73</v>
      </c>
      <c r="G48" s="116"/>
      <c r="H48" s="123"/>
    </row>
    <row r="49" spans="7:8" ht="12.75">
      <c r="G49" s="116"/>
      <c r="H49" s="123"/>
    </row>
    <row r="50" spans="7:8" ht="12.75">
      <c r="G50" s="116"/>
      <c r="H50" s="123"/>
    </row>
    <row r="51" spans="1:8" ht="12.75">
      <c r="A51">
        <v>6</v>
      </c>
      <c r="B51" t="s">
        <v>40</v>
      </c>
      <c r="E51" s="1">
        <f>400749.12</f>
        <v>400749.12</v>
      </c>
      <c r="G51" s="116">
        <v>1082634.71</v>
      </c>
      <c r="H51" s="123"/>
    </row>
    <row r="52" spans="3:8" ht="12.75">
      <c r="C52" t="s">
        <v>46</v>
      </c>
      <c r="F52" s="1">
        <f>E51</f>
        <v>400749.12</v>
      </c>
      <c r="G52" s="116"/>
      <c r="H52" s="123">
        <f>+G51</f>
        <v>1082634.71</v>
      </c>
    </row>
    <row r="53" spans="2:8" ht="12.75">
      <c r="B53" t="s">
        <v>74</v>
      </c>
      <c r="G53" s="116"/>
      <c r="H53" s="123"/>
    </row>
    <row r="54" spans="7:8" ht="12.75">
      <c r="G54" s="116"/>
      <c r="H54" s="123"/>
    </row>
    <row r="55" spans="7:8" ht="12.75">
      <c r="G55" s="116"/>
      <c r="H55" s="123"/>
    </row>
    <row r="56" spans="1:8" ht="12.75">
      <c r="A56">
        <v>7</v>
      </c>
      <c r="B56" t="s">
        <v>40</v>
      </c>
      <c r="E56" s="1">
        <f>530522.22+156000+80000</f>
        <v>766522.22</v>
      </c>
      <c r="G56" s="116">
        <f>766522.22</f>
        <v>766522.22</v>
      </c>
      <c r="H56" s="123"/>
    </row>
    <row r="57" spans="3:8" ht="12.75">
      <c r="C57" t="s">
        <v>75</v>
      </c>
      <c r="F57" s="1">
        <f>E56</f>
        <v>766522.22</v>
      </c>
      <c r="G57" s="116"/>
      <c r="H57" s="123">
        <f>+G56</f>
        <v>766522.22</v>
      </c>
    </row>
    <row r="58" spans="2:8" ht="12.75">
      <c r="B58" t="s">
        <v>76</v>
      </c>
      <c r="G58" s="116"/>
      <c r="H58" s="123"/>
    </row>
    <row r="59" spans="7:8" ht="12.75">
      <c r="G59" s="116"/>
      <c r="H59" s="123"/>
    </row>
    <row r="60" spans="7:8" ht="12.75">
      <c r="G60" s="116"/>
      <c r="H60" s="123"/>
    </row>
    <row r="61" spans="1:8" ht="12.75">
      <c r="A61">
        <v>8</v>
      </c>
      <c r="B61" t="s">
        <v>40</v>
      </c>
      <c r="G61" s="116">
        <v>38820</v>
      </c>
      <c r="H61" s="123"/>
    </row>
    <row r="62" spans="3:8" ht="12.75">
      <c r="C62" t="s">
        <v>0</v>
      </c>
      <c r="G62" s="116"/>
      <c r="H62" s="123">
        <f>+G61</f>
        <v>38820</v>
      </c>
    </row>
    <row r="63" spans="2:8" ht="12.75">
      <c r="B63" t="s">
        <v>467</v>
      </c>
      <c r="G63" s="116"/>
      <c r="H63" s="123"/>
    </row>
    <row r="64" spans="7:8" ht="12.75">
      <c r="G64" s="116"/>
      <c r="H64" s="123"/>
    </row>
    <row r="65" spans="7:8" ht="12.75">
      <c r="G65" s="116"/>
      <c r="H65" s="123"/>
    </row>
    <row r="66" spans="1:8" ht="12.75">
      <c r="A66">
        <v>9</v>
      </c>
      <c r="B66" t="s">
        <v>40</v>
      </c>
      <c r="G66" s="116">
        <v>678424.18</v>
      </c>
      <c r="H66" s="123"/>
    </row>
    <row r="67" spans="3:8" ht="12.75">
      <c r="C67" t="s">
        <v>505</v>
      </c>
      <c r="G67" s="116"/>
      <c r="H67" s="123">
        <f>+G66</f>
        <v>678424.18</v>
      </c>
    </row>
    <row r="68" spans="2:8" ht="12.75">
      <c r="B68" t="s">
        <v>506</v>
      </c>
      <c r="G68" s="116"/>
      <c r="H68" s="123"/>
    </row>
    <row r="69" spans="7:8" ht="12.75">
      <c r="G69" s="116"/>
      <c r="H69" s="123"/>
    </row>
    <row r="70" spans="7:8" ht="12.75">
      <c r="G70" s="116"/>
      <c r="H70" s="123"/>
    </row>
    <row r="71" spans="7:8" ht="13.5" thickBot="1">
      <c r="G71" s="124">
        <f>SUM(G6:G59)</f>
        <v>10166672.940000001</v>
      </c>
      <c r="H71" s="125">
        <f>SUM(H6:H59)</f>
        <v>10166672.94</v>
      </c>
    </row>
    <row r="72" spans="7:8" ht="14.25" thickBot="1" thickTop="1">
      <c r="G72" s="117"/>
      <c r="H72" s="122"/>
    </row>
  </sheetData>
  <sheetProtection/>
  <mergeCells count="2">
    <mergeCell ref="E3:F3"/>
    <mergeCell ref="G3:H3"/>
  </mergeCells>
  <printOptions/>
  <pageMargins left="0.75" right="0.76" top="0.5" bottom="0.45" header="0.5" footer="0.22"/>
  <pageSetup fitToHeight="1" fitToWidth="1" horizontalDpi="600" verticalDpi="600" orientation="portrait" paperSize="9" scale="82" r:id="rId1"/>
  <headerFooter alignWithMargins="0">
    <oddFooter>&amp;C&amp;D&amp;T</oddFooter>
  </headerFooter>
</worksheet>
</file>

<file path=xl/worksheets/sheet10.xml><?xml version="1.0" encoding="utf-8"?>
<worksheet xmlns="http://schemas.openxmlformats.org/spreadsheetml/2006/main" xmlns:r="http://schemas.openxmlformats.org/officeDocument/2006/relationships">
  <dimension ref="A1:P180"/>
  <sheetViews>
    <sheetView zoomScale="75" zoomScaleNormal="75" zoomScalePageLayoutView="0" workbookViewId="0" topLeftCell="A73">
      <selection activeCell="M94" sqref="M94"/>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75">
      <c r="F1" s="42" t="s">
        <v>111</v>
      </c>
      <c r="G1" s="43"/>
    </row>
    <row r="2" ht="12.75">
      <c r="G2" t="s">
        <v>232</v>
      </c>
    </row>
    <row r="3" ht="9" customHeight="1"/>
    <row r="4" spans="1:11" ht="15">
      <c r="A4" s="38" t="s">
        <v>112</v>
      </c>
      <c r="B4" s="44"/>
      <c r="C4" s="44"/>
      <c r="D4" s="44"/>
      <c r="E4" s="44"/>
      <c r="F4" s="44"/>
      <c r="G4" s="44"/>
      <c r="H4" s="44"/>
      <c r="I4" s="44"/>
      <c r="J4" s="44"/>
      <c r="K4" s="44"/>
    </row>
    <row r="5" spans="1:11" ht="16.5" customHeight="1">
      <c r="A5" s="44"/>
      <c r="B5" s="44"/>
      <c r="C5" s="44"/>
      <c r="D5" s="44"/>
      <c r="E5" s="44"/>
      <c r="F5" s="44"/>
      <c r="G5" s="44"/>
      <c r="H5" s="44"/>
      <c r="I5" s="44"/>
      <c r="J5" s="44"/>
      <c r="K5" s="44"/>
    </row>
    <row r="6" spans="1:11" ht="16.5" customHeight="1">
      <c r="A6" s="38" t="s">
        <v>113</v>
      </c>
      <c r="B6" s="38" t="s">
        <v>231</v>
      </c>
      <c r="C6" s="44"/>
      <c r="D6" s="44"/>
      <c r="E6" s="44"/>
      <c r="F6" s="44"/>
      <c r="G6" s="44"/>
      <c r="H6" s="44"/>
      <c r="I6" s="44"/>
      <c r="J6" s="44"/>
      <c r="K6" s="44"/>
    </row>
    <row r="7" spans="1:11" ht="16.5" customHeight="1">
      <c r="A7" s="44"/>
      <c r="B7" s="38" t="s">
        <v>234</v>
      </c>
      <c r="C7" s="44"/>
      <c r="D7" s="44"/>
      <c r="E7" s="44"/>
      <c r="F7" s="44"/>
      <c r="G7" s="44"/>
      <c r="H7" s="44"/>
      <c r="I7" s="44"/>
      <c r="J7" s="44"/>
      <c r="K7" s="44"/>
    </row>
    <row r="8" spans="1:11" ht="16.5" customHeight="1">
      <c r="A8" s="44"/>
      <c r="B8" s="38"/>
      <c r="C8" s="44"/>
      <c r="D8" s="44"/>
      <c r="E8" s="44"/>
      <c r="F8" s="44"/>
      <c r="G8" s="44"/>
      <c r="H8" s="44"/>
      <c r="I8" s="44"/>
      <c r="J8" s="44"/>
      <c r="K8" s="44"/>
    </row>
    <row r="9" spans="1:11" ht="16.5" customHeight="1">
      <c r="A9" s="38" t="s">
        <v>114</v>
      </c>
      <c r="B9" s="38" t="s">
        <v>115</v>
      </c>
      <c r="C9" s="44"/>
      <c r="D9" s="44"/>
      <c r="E9" s="44"/>
      <c r="F9" s="44"/>
      <c r="G9" s="44"/>
      <c r="H9" s="44"/>
      <c r="I9" s="44"/>
      <c r="J9" s="44"/>
      <c r="K9" s="44"/>
    </row>
    <row r="10" spans="1:11" ht="16.5" customHeight="1">
      <c r="A10" s="44"/>
      <c r="B10" s="44"/>
      <c r="C10" s="44"/>
      <c r="D10" s="44"/>
      <c r="E10" s="44"/>
      <c r="F10" s="44"/>
      <c r="G10" s="44"/>
      <c r="H10" s="44"/>
      <c r="I10" s="44"/>
      <c r="J10" s="44"/>
      <c r="K10" s="44"/>
    </row>
    <row r="11" spans="1:11" ht="11.25" customHeight="1">
      <c r="A11" s="44"/>
      <c r="B11" s="44"/>
      <c r="C11" s="44"/>
      <c r="D11" s="44"/>
      <c r="E11" s="44"/>
      <c r="F11" s="44"/>
      <c r="G11" s="44"/>
      <c r="H11" s="44"/>
      <c r="I11" s="44"/>
      <c r="J11" s="44"/>
      <c r="K11" s="44"/>
    </row>
    <row r="12" spans="1:11" ht="11.25" customHeight="1">
      <c r="A12" s="44"/>
      <c r="B12" s="44"/>
      <c r="C12" s="44"/>
      <c r="D12" s="44"/>
      <c r="E12" s="44"/>
      <c r="F12" s="44"/>
      <c r="G12" s="44"/>
      <c r="H12" s="44"/>
      <c r="I12" s="44"/>
      <c r="J12" s="44"/>
      <c r="K12" s="44"/>
    </row>
    <row r="13" spans="1:11" ht="11.25" customHeight="1">
      <c r="A13" s="44"/>
      <c r="B13" s="44"/>
      <c r="C13" s="44"/>
      <c r="D13" s="44"/>
      <c r="E13" s="44"/>
      <c r="F13" s="44"/>
      <c r="G13" s="44"/>
      <c r="H13" s="44"/>
      <c r="I13" s="44"/>
      <c r="J13" s="44"/>
      <c r="K13" s="44"/>
    </row>
    <row r="14" spans="1:11" ht="11.25" customHeight="1">
      <c r="A14" s="44"/>
      <c r="B14" s="44"/>
      <c r="C14" s="44"/>
      <c r="D14" s="44"/>
      <c r="E14" s="44"/>
      <c r="F14" s="44"/>
      <c r="G14" s="44"/>
      <c r="H14" s="44"/>
      <c r="I14" s="44"/>
      <c r="J14" s="44"/>
      <c r="K14" s="44"/>
    </row>
    <row r="15" spans="1:11" ht="11.25" customHeight="1">
      <c r="A15" s="44"/>
      <c r="B15" s="44"/>
      <c r="C15" s="44"/>
      <c r="D15" s="44"/>
      <c r="E15" s="44"/>
      <c r="F15" s="44"/>
      <c r="G15" s="44"/>
      <c r="H15" s="44"/>
      <c r="I15" s="44"/>
      <c r="J15" s="44"/>
      <c r="K15" s="44"/>
    </row>
    <row r="16" spans="1:11" ht="11.25" customHeight="1">
      <c r="A16" s="44"/>
      <c r="B16" s="44"/>
      <c r="C16" s="44"/>
      <c r="D16" s="44"/>
      <c r="E16" s="44"/>
      <c r="F16" s="44"/>
      <c r="G16" s="44"/>
      <c r="H16" s="44"/>
      <c r="I16" s="44"/>
      <c r="J16" s="44"/>
      <c r="K16" s="44"/>
    </row>
    <row r="17" spans="1:11" ht="12.75" customHeight="1">
      <c r="A17" s="44"/>
      <c r="B17" s="44"/>
      <c r="C17" s="44"/>
      <c r="D17" s="44"/>
      <c r="E17" s="44"/>
      <c r="F17" s="44"/>
      <c r="G17" s="44"/>
      <c r="H17" s="44"/>
      <c r="I17" s="44"/>
      <c r="J17" s="44"/>
      <c r="K17" s="44"/>
    </row>
    <row r="18" spans="1:11" ht="12.75" customHeight="1">
      <c r="A18" s="44"/>
      <c r="B18" s="44"/>
      <c r="C18" s="44"/>
      <c r="D18" s="44"/>
      <c r="E18" s="44"/>
      <c r="F18" s="44"/>
      <c r="G18" s="44"/>
      <c r="H18" s="44"/>
      <c r="I18" s="44"/>
      <c r="J18" s="44"/>
      <c r="K18" s="44"/>
    </row>
    <row r="19" ht="16.5" customHeight="1"/>
    <row r="20" spans="1:4" ht="16.5" customHeight="1">
      <c r="A20" s="38" t="s">
        <v>117</v>
      </c>
      <c r="B20" s="38" t="s">
        <v>118</v>
      </c>
      <c r="C20" s="44"/>
      <c r="D20" s="44"/>
    </row>
    <row r="21" ht="16.5" customHeight="1"/>
    <row r="22" ht="16.5" customHeight="1"/>
    <row r="23" ht="16.5" customHeight="1"/>
    <row r="24" spans="1:6" ht="16.5" customHeight="1">
      <c r="A24" s="38" t="s">
        <v>119</v>
      </c>
      <c r="B24" s="38" t="s">
        <v>120</v>
      </c>
      <c r="C24" s="38"/>
      <c r="D24" s="38"/>
      <c r="E24" s="38"/>
      <c r="F24" s="44"/>
    </row>
    <row r="25" spans="1:6" ht="16.5" customHeight="1">
      <c r="A25" s="44"/>
      <c r="B25" s="44"/>
      <c r="C25" s="44"/>
      <c r="D25" s="44"/>
      <c r="E25" s="44"/>
      <c r="F25" s="44"/>
    </row>
    <row r="26" spans="1:6" ht="16.5" customHeight="1">
      <c r="A26" s="44"/>
      <c r="B26" s="44"/>
      <c r="C26" s="44"/>
      <c r="D26" s="44"/>
      <c r="E26" s="44"/>
      <c r="F26" s="44"/>
    </row>
    <row r="27" spans="1:6" ht="16.5" customHeight="1">
      <c r="A27" s="44"/>
      <c r="B27" s="44"/>
      <c r="C27" s="44"/>
      <c r="D27" s="44"/>
      <c r="E27" s="44"/>
      <c r="F27" s="44"/>
    </row>
    <row r="28" spans="1:7" ht="16.5" customHeight="1">
      <c r="A28" s="38" t="s">
        <v>121</v>
      </c>
      <c r="B28" s="38" t="s">
        <v>122</v>
      </c>
      <c r="C28" s="44"/>
      <c r="D28" s="44"/>
      <c r="E28" s="44"/>
      <c r="F28" s="44"/>
      <c r="G28" s="44"/>
    </row>
    <row r="29" spans="1:7" ht="16.5" customHeight="1">
      <c r="A29" s="44"/>
      <c r="B29" s="44"/>
      <c r="C29" s="44"/>
      <c r="D29" s="44"/>
      <c r="E29" s="44"/>
      <c r="F29" s="44"/>
      <c r="G29" s="44"/>
    </row>
    <row r="30" spans="1:7" ht="16.5" customHeight="1">
      <c r="A30" s="44"/>
      <c r="B30" s="44"/>
      <c r="C30" s="44"/>
      <c r="D30" s="44"/>
      <c r="E30" s="44"/>
      <c r="F30" s="44"/>
      <c r="G30" s="44"/>
    </row>
    <row r="31" spans="1:7" ht="16.5" customHeight="1">
      <c r="A31" s="44"/>
      <c r="B31" s="44"/>
      <c r="C31" s="44"/>
      <c r="D31" s="44"/>
      <c r="E31" s="44"/>
      <c r="F31" s="44"/>
      <c r="G31" s="44"/>
    </row>
    <row r="32" spans="1:7" ht="16.5" customHeight="1">
      <c r="A32" s="38" t="s">
        <v>123</v>
      </c>
      <c r="B32" s="38" t="s">
        <v>124</v>
      </c>
      <c r="C32" s="38"/>
      <c r="D32" s="38"/>
      <c r="E32" s="44"/>
      <c r="F32" s="44"/>
      <c r="G32" s="44"/>
    </row>
    <row r="33" spans="1:7" ht="16.5" customHeight="1">
      <c r="A33" s="44"/>
      <c r="B33" s="44"/>
      <c r="C33" s="44"/>
      <c r="D33" s="44"/>
      <c r="E33" s="44"/>
      <c r="F33" s="44"/>
      <c r="G33" s="44"/>
    </row>
    <row r="34" spans="1:7" ht="16.5" customHeight="1">
      <c r="A34" s="44"/>
      <c r="B34" s="44"/>
      <c r="C34" s="44"/>
      <c r="D34" s="44"/>
      <c r="E34" s="44"/>
      <c r="F34" s="44"/>
      <c r="G34" s="44"/>
    </row>
    <row r="35" spans="1:7" ht="16.5" customHeight="1">
      <c r="A35" s="44"/>
      <c r="B35" s="44"/>
      <c r="C35" s="44"/>
      <c r="D35" s="44"/>
      <c r="E35" s="44"/>
      <c r="F35" s="44"/>
      <c r="G35" s="44"/>
    </row>
    <row r="36" spans="1:7" ht="16.5" customHeight="1">
      <c r="A36" s="44"/>
      <c r="B36" s="44"/>
      <c r="C36" s="44"/>
      <c r="D36" s="44"/>
      <c r="E36" s="44"/>
      <c r="F36" s="44"/>
      <c r="G36" s="44"/>
    </row>
    <row r="37" spans="1:7" ht="16.5" customHeight="1">
      <c r="A37" s="38" t="s">
        <v>125</v>
      </c>
      <c r="B37" s="38" t="s">
        <v>126</v>
      </c>
      <c r="C37" s="44"/>
      <c r="D37" s="44"/>
      <c r="E37" s="44"/>
      <c r="F37" s="44"/>
      <c r="G37" s="44"/>
    </row>
    <row r="38" spans="1:11" ht="16.5" customHeight="1">
      <c r="A38" s="44"/>
      <c r="B38" s="44"/>
      <c r="C38" s="44"/>
      <c r="D38" s="44"/>
      <c r="E38" s="44"/>
      <c r="F38" s="44"/>
      <c r="G38" s="44"/>
      <c r="I38" t="s">
        <v>127</v>
      </c>
      <c r="K38" s="45" t="s">
        <v>4</v>
      </c>
    </row>
    <row r="39" spans="1:11" ht="16.5" customHeight="1">
      <c r="A39" s="44"/>
      <c r="B39" s="44" t="s">
        <v>474</v>
      </c>
      <c r="C39" s="44"/>
      <c r="D39" s="44"/>
      <c r="E39" s="44"/>
      <c r="F39" s="44"/>
      <c r="G39" s="44"/>
      <c r="I39" s="47">
        <v>97232260</v>
      </c>
      <c r="J39" s="48"/>
      <c r="K39" s="111">
        <v>9723226</v>
      </c>
    </row>
    <row r="40" spans="1:11" ht="16.5" customHeight="1">
      <c r="A40" s="44"/>
      <c r="B40" s="44" t="s">
        <v>48</v>
      </c>
      <c r="C40" s="44"/>
      <c r="D40" s="44"/>
      <c r="E40" s="44"/>
      <c r="F40" s="44"/>
      <c r="G40" s="44"/>
      <c r="I40" s="47"/>
      <c r="K40" s="47"/>
    </row>
    <row r="41" spans="1:11" ht="16.5" customHeight="1" thickBot="1">
      <c r="A41" s="44"/>
      <c r="B41" s="44" t="s">
        <v>494</v>
      </c>
      <c r="C41" s="44"/>
      <c r="D41" s="44"/>
      <c r="E41" s="44"/>
      <c r="F41" s="44"/>
      <c r="G41" s="44"/>
      <c r="I41" s="46">
        <f>I39</f>
        <v>97232260</v>
      </c>
      <c r="K41" s="46">
        <f>K39</f>
        <v>9723226</v>
      </c>
    </row>
    <row r="42" spans="1:11" ht="16.5" customHeight="1" thickTop="1">
      <c r="A42" s="44"/>
      <c r="B42" s="44"/>
      <c r="C42" s="44"/>
      <c r="D42" s="44"/>
      <c r="E42" s="44"/>
      <c r="F42" s="44"/>
      <c r="G42" s="44"/>
      <c r="I42" s="47"/>
      <c r="K42" s="47"/>
    </row>
    <row r="43" spans="1:11" ht="16.5" customHeight="1">
      <c r="A43" s="44"/>
      <c r="B43" s="44"/>
      <c r="C43" s="44"/>
      <c r="D43" s="44"/>
      <c r="E43" s="44"/>
      <c r="F43" s="44"/>
      <c r="G43" s="44"/>
      <c r="I43" s="47"/>
      <c r="K43" s="47"/>
    </row>
    <row r="44" spans="1:11" ht="16.5" customHeight="1">
      <c r="A44" s="44"/>
      <c r="B44" s="44"/>
      <c r="C44" s="44"/>
      <c r="D44" s="44"/>
      <c r="E44" s="44"/>
      <c r="F44" s="44"/>
      <c r="G44" s="44"/>
      <c r="I44" s="47"/>
      <c r="K44" s="47"/>
    </row>
    <row r="45" spans="1:11" ht="16.5" customHeight="1">
      <c r="A45" s="44"/>
      <c r="B45" s="44"/>
      <c r="C45" s="44"/>
      <c r="D45" s="44"/>
      <c r="E45" s="44"/>
      <c r="F45" s="44"/>
      <c r="G45" s="44"/>
      <c r="I45" s="47"/>
      <c r="K45" s="47"/>
    </row>
    <row r="46" spans="1:11" ht="16.5" customHeight="1">
      <c r="A46" s="44"/>
      <c r="B46" s="44"/>
      <c r="C46" s="44"/>
      <c r="D46" s="44"/>
      <c r="E46" s="44"/>
      <c r="F46" s="44"/>
      <c r="G46" s="44"/>
      <c r="I46" s="47"/>
      <c r="K46" s="47"/>
    </row>
    <row r="47" spans="1:9" ht="16.5" customHeight="1">
      <c r="A47" s="38" t="s">
        <v>128</v>
      </c>
      <c r="B47" s="38" t="s">
        <v>129</v>
      </c>
      <c r="C47" s="38"/>
      <c r="D47" s="38"/>
      <c r="E47" s="44"/>
      <c r="F47" s="44"/>
      <c r="G47" s="44"/>
      <c r="I47" t="s">
        <v>48</v>
      </c>
    </row>
    <row r="48" spans="1:7" ht="16.5" customHeight="1">
      <c r="A48" s="44"/>
      <c r="B48" s="44"/>
      <c r="C48" s="44"/>
      <c r="D48" s="44"/>
      <c r="E48" s="44"/>
      <c r="F48" s="44"/>
      <c r="G48" s="44"/>
    </row>
    <row r="49" spans="1:7" ht="16.5" customHeight="1">
      <c r="A49" s="44"/>
      <c r="B49" s="44"/>
      <c r="C49" s="44"/>
      <c r="D49" s="44"/>
      <c r="E49" s="44"/>
      <c r="F49" s="44"/>
      <c r="G49" s="44"/>
    </row>
    <row r="50" spans="1:7" ht="16.5" customHeight="1">
      <c r="A50" s="44"/>
      <c r="B50" s="44"/>
      <c r="C50" s="44"/>
      <c r="D50" s="44"/>
      <c r="E50" s="44"/>
      <c r="F50" s="44"/>
      <c r="G50" s="44"/>
    </row>
    <row r="51" spans="1:7" ht="16.5" customHeight="1">
      <c r="A51" s="38" t="s">
        <v>130</v>
      </c>
      <c r="B51" s="38" t="s">
        <v>131</v>
      </c>
      <c r="C51" s="38"/>
      <c r="D51" s="38"/>
      <c r="E51" s="38"/>
      <c r="F51" s="44"/>
      <c r="G51" s="44"/>
    </row>
    <row r="52" spans="1:7" ht="9" customHeight="1">
      <c r="A52" s="44"/>
      <c r="B52" s="44"/>
      <c r="C52" s="44"/>
      <c r="D52" s="44"/>
      <c r="E52" s="44"/>
      <c r="F52" s="44"/>
      <c r="G52" s="44"/>
    </row>
    <row r="53" ht="16.5" customHeight="1">
      <c r="B53" s="94" t="s">
        <v>229</v>
      </c>
    </row>
    <row r="54" ht="16.5" customHeight="1"/>
    <row r="55" ht="16.5" customHeight="1"/>
    <row r="56" spans="1:8" ht="16.5" customHeight="1">
      <c r="A56" s="38" t="s">
        <v>138</v>
      </c>
      <c r="B56" s="38" t="s">
        <v>139</v>
      </c>
      <c r="C56" s="44"/>
      <c r="D56" s="44"/>
      <c r="E56" s="44"/>
      <c r="F56" s="44"/>
      <c r="G56" s="44"/>
      <c r="H56" s="44"/>
    </row>
    <row r="57" spans="1:8" ht="16.5" customHeight="1">
      <c r="A57" s="44"/>
      <c r="B57" s="44"/>
      <c r="C57" s="44"/>
      <c r="D57" s="44"/>
      <c r="E57" s="44"/>
      <c r="F57" s="44"/>
      <c r="G57" s="44"/>
      <c r="H57" s="44"/>
    </row>
    <row r="58" ht="16.5" customHeight="1"/>
    <row r="59" ht="16.5" customHeight="1"/>
    <row r="60" spans="1:4" ht="16.5" customHeight="1">
      <c r="A60" s="38" t="s">
        <v>140</v>
      </c>
      <c r="B60" s="38" t="s">
        <v>141</v>
      </c>
      <c r="C60" s="38"/>
      <c r="D60" s="38"/>
    </row>
    <row r="61" ht="16.5" customHeight="1"/>
    <row r="62" ht="16.5" customHeight="1"/>
    <row r="63" ht="16.5" customHeight="1"/>
    <row r="64" spans="1:6" ht="16.5" customHeight="1">
      <c r="A64" s="38" t="s">
        <v>142</v>
      </c>
      <c r="B64" s="38" t="s">
        <v>143</v>
      </c>
      <c r="C64" s="44"/>
      <c r="D64" s="44"/>
      <c r="E64" s="44"/>
      <c r="F64" s="44"/>
    </row>
    <row r="65" spans="1:6" ht="16.5" customHeight="1">
      <c r="A65" s="44"/>
      <c r="B65" s="44"/>
      <c r="C65" s="44"/>
      <c r="D65" s="44"/>
      <c r="E65" s="44"/>
      <c r="F65" s="44"/>
    </row>
    <row r="66" ht="16.5" customHeight="1"/>
    <row r="67" ht="16.5" customHeight="1"/>
    <row r="68" spans="1:4" ht="19.5" customHeight="1">
      <c r="A68" s="38" t="s">
        <v>144</v>
      </c>
      <c r="B68" s="38" t="s">
        <v>145</v>
      </c>
      <c r="C68" s="38"/>
      <c r="D68" s="38"/>
    </row>
    <row r="69" ht="16.5" customHeight="1"/>
    <row r="70" ht="16.5" customHeight="1"/>
    <row r="71" ht="16.5" customHeight="1"/>
    <row r="72" spans="1:7" ht="16.5" customHeight="1">
      <c r="A72" s="38" t="s">
        <v>146</v>
      </c>
      <c r="B72" s="38" t="s">
        <v>147</v>
      </c>
      <c r="C72" s="44"/>
      <c r="D72" s="44"/>
      <c r="E72" s="44"/>
      <c r="F72" s="44"/>
      <c r="G72" s="44"/>
    </row>
    <row r="73" ht="16.5" customHeight="1"/>
    <row r="74" ht="16.5" customHeight="1"/>
    <row r="75" ht="16.5" customHeight="1"/>
    <row r="76" spans="1:2" ht="16.5" customHeight="1">
      <c r="A76" s="70" t="s">
        <v>176</v>
      </c>
      <c r="B76" s="38" t="s">
        <v>222</v>
      </c>
    </row>
    <row r="77" ht="16.5" customHeight="1">
      <c r="B77" s="38" t="s">
        <v>235</v>
      </c>
    </row>
    <row r="78" ht="16.5" customHeight="1">
      <c r="B78" s="38"/>
    </row>
    <row r="79" spans="1:2" s="44" customFormat="1" ht="16.5" customHeight="1">
      <c r="A79" s="38" t="s">
        <v>177</v>
      </c>
      <c r="B79" s="38" t="s">
        <v>236</v>
      </c>
    </row>
    <row r="80" s="44" customFormat="1" ht="7.5" customHeight="1"/>
    <row r="81" s="44" customFormat="1" ht="14.25"/>
    <row r="82" s="44" customFormat="1" ht="14.25"/>
    <row r="83" s="44" customFormat="1" ht="14.25"/>
    <row r="84" s="44" customFormat="1" ht="14.25"/>
    <row r="85" s="44" customFormat="1" ht="14.25"/>
    <row r="86" s="44" customFormat="1" ht="14.25"/>
    <row r="87" spans="1:2" s="44" customFormat="1" ht="15">
      <c r="A87" s="38" t="s">
        <v>178</v>
      </c>
      <c r="B87" s="38" t="s">
        <v>179</v>
      </c>
    </row>
    <row r="88" s="44" customFormat="1" ht="14.25"/>
    <row r="89" s="44" customFormat="1" ht="14.25"/>
    <row r="90" s="44" customFormat="1" ht="14.25"/>
    <row r="91" s="44" customFormat="1" ht="14.25"/>
    <row r="92" s="44" customFormat="1" ht="14.25"/>
    <row r="93" s="44" customFormat="1" ht="14.25"/>
    <row r="94" spans="13:16" s="44" customFormat="1" ht="14.25">
      <c r="M94" s="113"/>
      <c r="N94" s="113"/>
      <c r="O94" s="113"/>
      <c r="P94" s="113"/>
    </row>
    <row r="95" spans="13:16" s="44" customFormat="1" ht="14.25">
      <c r="M95" s="113"/>
      <c r="N95" s="113"/>
      <c r="O95" s="113"/>
      <c r="P95" s="113"/>
    </row>
    <row r="96" s="44" customFormat="1" ht="14.25"/>
    <row r="97" s="44" customFormat="1" ht="14.25"/>
    <row r="98" s="44" customFormat="1" ht="14.25"/>
    <row r="99" s="44" customFormat="1" ht="14.25"/>
    <row r="100" spans="1:2" s="44" customFormat="1" ht="15">
      <c r="A100" s="38" t="s">
        <v>180</v>
      </c>
      <c r="B100" s="38" t="s">
        <v>193</v>
      </c>
    </row>
    <row r="101" s="44" customFormat="1" ht="14.25"/>
    <row r="102" s="44" customFormat="1" ht="14.25"/>
    <row r="103" s="44" customFormat="1" ht="14.25"/>
    <row r="104" s="44" customFormat="1" ht="14.25"/>
    <row r="105" s="44" customFormat="1" ht="14.25"/>
    <row r="106" s="44" customFormat="1" ht="14.25"/>
    <row r="107" s="44" customFormat="1" ht="14.25"/>
    <row r="108" s="44" customFormat="1" ht="14.25"/>
    <row r="109" s="44" customFormat="1" ht="14.25"/>
    <row r="110" spans="1:2" s="44" customFormat="1" ht="15">
      <c r="A110" s="38" t="s">
        <v>184</v>
      </c>
      <c r="B110" s="38" t="s">
        <v>194</v>
      </c>
    </row>
    <row r="111" s="44" customFormat="1" ht="14.25"/>
    <row r="112" s="44" customFormat="1" ht="14.25"/>
    <row r="113" s="44" customFormat="1" ht="14.25"/>
    <row r="114" spans="1:2" s="44" customFormat="1" ht="15">
      <c r="A114" s="38" t="s">
        <v>185</v>
      </c>
      <c r="B114" s="38" t="s">
        <v>103</v>
      </c>
    </row>
    <row r="115" s="44" customFormat="1" ht="14.25"/>
    <row r="116" spans="5:11" s="44" customFormat="1" ht="21.75" customHeight="1">
      <c r="E116" s="436" t="s">
        <v>132</v>
      </c>
      <c r="F116" s="446"/>
      <c r="G116" s="446"/>
      <c r="H116" s="437"/>
      <c r="I116" s="447" t="s">
        <v>133</v>
      </c>
      <c r="J116" s="448"/>
      <c r="K116" s="449"/>
    </row>
    <row r="117" spans="5:11" s="44" customFormat="1" ht="14.25" customHeight="1">
      <c r="E117" s="450" t="s">
        <v>134</v>
      </c>
      <c r="F117" s="451"/>
      <c r="G117" s="450" t="s">
        <v>135</v>
      </c>
      <c r="H117" s="451"/>
      <c r="I117" s="450" t="s">
        <v>136</v>
      </c>
      <c r="J117" s="451"/>
      <c r="K117" s="49" t="s">
        <v>137</v>
      </c>
    </row>
    <row r="118" spans="5:11" s="44" customFormat="1" ht="14.25" customHeight="1">
      <c r="E118" s="450" t="s">
        <v>486</v>
      </c>
      <c r="F118" s="451"/>
      <c r="G118" s="450" t="s">
        <v>487</v>
      </c>
      <c r="H118" s="451"/>
      <c r="I118" s="450" t="s">
        <v>486</v>
      </c>
      <c r="J118" s="451"/>
      <c r="K118" s="49" t="s">
        <v>487</v>
      </c>
    </row>
    <row r="119" spans="5:11" s="44" customFormat="1" ht="14.25">
      <c r="E119" s="436" t="s">
        <v>4</v>
      </c>
      <c r="F119" s="437"/>
      <c r="G119" s="436" t="s">
        <v>4</v>
      </c>
      <c r="H119" s="437"/>
      <c r="I119" s="436" t="s">
        <v>4</v>
      </c>
      <c r="J119" s="437"/>
      <c r="K119" s="50" t="s">
        <v>4</v>
      </c>
    </row>
    <row r="120" spans="5:11" s="44" customFormat="1" ht="14.25">
      <c r="E120" s="438"/>
      <c r="F120" s="439"/>
      <c r="G120" s="438"/>
      <c r="H120" s="439"/>
      <c r="I120" s="440"/>
      <c r="J120" s="441"/>
      <c r="K120" s="51"/>
    </row>
    <row r="121" spans="2:11" s="44" customFormat="1" ht="14.25">
      <c r="B121" s="44" t="s">
        <v>181</v>
      </c>
      <c r="E121" s="434">
        <f>-PL!H37</f>
        <v>93816.6292</v>
      </c>
      <c r="F121" s="435"/>
      <c r="G121" s="432">
        <v>329000</v>
      </c>
      <c r="H121" s="433"/>
      <c r="I121" s="442">
        <f>-PL!J37</f>
        <v>93816.6292</v>
      </c>
      <c r="J121" s="443"/>
      <c r="K121" s="71">
        <v>329000</v>
      </c>
    </row>
    <row r="122" spans="2:11" s="44" customFormat="1" ht="14.25">
      <c r="B122" s="44" t="s">
        <v>182</v>
      </c>
      <c r="E122" s="432"/>
      <c r="F122" s="433"/>
      <c r="G122" s="432" t="s">
        <v>48</v>
      </c>
      <c r="H122" s="433"/>
      <c r="I122" s="432" t="s">
        <v>48</v>
      </c>
      <c r="J122" s="433"/>
      <c r="K122" s="72" t="s">
        <v>48</v>
      </c>
    </row>
    <row r="123" spans="2:11" s="44" customFormat="1" ht="14.25">
      <c r="B123" s="44" t="s">
        <v>183</v>
      </c>
      <c r="E123" s="424">
        <v>0</v>
      </c>
      <c r="F123" s="425"/>
      <c r="G123" s="424">
        <v>0</v>
      </c>
      <c r="H123" s="425"/>
      <c r="I123" s="424">
        <f>+E123</f>
        <v>0</v>
      </c>
      <c r="J123" s="425"/>
      <c r="K123" s="73">
        <v>0</v>
      </c>
    </row>
    <row r="124" spans="5:11" s="44" customFormat="1" ht="14.25">
      <c r="E124" s="428">
        <f>SUM(E121:F123)</f>
        <v>93816.6292</v>
      </c>
      <c r="F124" s="429"/>
      <c r="G124" s="428">
        <f>SUM(G121:H123)</f>
        <v>329000</v>
      </c>
      <c r="H124" s="429"/>
      <c r="I124" s="428">
        <f>SUM(I121:J123)</f>
        <v>93816.6292</v>
      </c>
      <c r="J124" s="429"/>
      <c r="K124" s="74">
        <f>SUM(K121:K123)</f>
        <v>329000</v>
      </c>
    </row>
    <row r="125" spans="2:11" s="44" customFormat="1" ht="14.25">
      <c r="B125" s="44" t="s">
        <v>45</v>
      </c>
      <c r="E125" s="430">
        <v>0</v>
      </c>
      <c r="F125" s="431"/>
      <c r="G125" s="430">
        <v>0</v>
      </c>
      <c r="H125" s="431"/>
      <c r="I125" s="430">
        <v>0</v>
      </c>
      <c r="J125" s="431"/>
      <c r="K125" s="75">
        <v>0</v>
      </c>
    </row>
    <row r="126" spans="5:11" s="44" customFormat="1" ht="15" thickBot="1">
      <c r="E126" s="426">
        <f>SUM(E124:F125)</f>
        <v>93816.6292</v>
      </c>
      <c r="F126" s="427"/>
      <c r="G126" s="426">
        <f>SUM(G124:H125)</f>
        <v>329000</v>
      </c>
      <c r="H126" s="427"/>
      <c r="I126" s="426">
        <f>SUM(I124:J125)</f>
        <v>93816.6292</v>
      </c>
      <c r="J126" s="427"/>
      <c r="K126" s="76">
        <f>SUM(K124:K125)</f>
        <v>329000</v>
      </c>
    </row>
    <row r="127" s="44" customFormat="1" ht="15" thickTop="1"/>
    <row r="128" s="44" customFormat="1" ht="14.25"/>
    <row r="129" s="44" customFormat="1" ht="14.25"/>
    <row r="130" s="44" customFormat="1" ht="14.25"/>
    <row r="131" s="44" customFormat="1" ht="14.25"/>
    <row r="132" spans="1:2" s="44" customFormat="1" ht="15">
      <c r="A132" s="38" t="s">
        <v>186</v>
      </c>
      <c r="B132" s="38" t="s">
        <v>195</v>
      </c>
    </row>
    <row r="133" s="44" customFormat="1" ht="14.25"/>
    <row r="134" s="44" customFormat="1" ht="14.25"/>
    <row r="135" s="44" customFormat="1" ht="14.25"/>
    <row r="136" spans="1:2" s="44" customFormat="1" ht="15">
      <c r="A136" s="38" t="s">
        <v>187</v>
      </c>
      <c r="B136" s="38" t="s">
        <v>188</v>
      </c>
    </row>
    <row r="137" s="44" customFormat="1" ht="14.25"/>
    <row r="138" s="44" customFormat="1" ht="14.25"/>
    <row r="139" s="44" customFormat="1" ht="14.25"/>
    <row r="140" s="44" customFormat="1" ht="14.25"/>
    <row r="141" spans="1:2" s="44" customFormat="1" ht="15">
      <c r="A141" s="38" t="s">
        <v>189</v>
      </c>
      <c r="B141" s="38" t="s">
        <v>196</v>
      </c>
    </row>
    <row r="142" s="44" customFormat="1" ht="14.25"/>
    <row r="143" s="44" customFormat="1" ht="14.25"/>
    <row r="144" s="44" customFormat="1" ht="14.25"/>
    <row r="145" s="44" customFormat="1" ht="15">
      <c r="B145" s="38" t="s">
        <v>48</v>
      </c>
    </row>
    <row r="146" spans="7:11" s="44" customFormat="1" ht="12.75" customHeight="1">
      <c r="G146" s="445"/>
      <c r="H146" s="445"/>
      <c r="I146" s="444" t="s">
        <v>48</v>
      </c>
      <c r="J146" s="444"/>
      <c r="K146" s="44" t="s">
        <v>48</v>
      </c>
    </row>
    <row r="147" s="44" customFormat="1" ht="14.25"/>
    <row r="148" s="44" customFormat="1" ht="14.25"/>
    <row r="149" s="44" customFormat="1" ht="14.25"/>
    <row r="150" s="44" customFormat="1" ht="14.25"/>
    <row r="151" spans="1:2" s="44" customFormat="1" ht="15">
      <c r="A151" s="38" t="s">
        <v>190</v>
      </c>
      <c r="B151" s="38" t="s">
        <v>191</v>
      </c>
    </row>
    <row r="152" s="44" customFormat="1" ht="14.25"/>
    <row r="153" s="44" customFormat="1" ht="14.25"/>
    <row r="154" s="44" customFormat="1" ht="14.25"/>
    <row r="155" s="44" customFormat="1" ht="14.25"/>
    <row r="156" spans="1:2" s="44" customFormat="1" ht="15">
      <c r="A156" s="38" t="s">
        <v>192</v>
      </c>
      <c r="B156" s="38" t="s">
        <v>197</v>
      </c>
    </row>
    <row r="157" s="44" customFormat="1" ht="14.25"/>
    <row r="158" s="44" customFormat="1" ht="14.25"/>
    <row r="159" s="44" customFormat="1" ht="14.25"/>
    <row r="160" spans="1:2" s="44" customFormat="1" ht="15">
      <c r="A160" s="38" t="s">
        <v>198</v>
      </c>
      <c r="B160" s="38" t="s">
        <v>199</v>
      </c>
    </row>
    <row r="161" s="44" customFormat="1" ht="14.25"/>
    <row r="162" s="44" customFormat="1" ht="14.25"/>
    <row r="163" s="44" customFormat="1" ht="14.25"/>
    <row r="164" s="44" customFormat="1" ht="14.25"/>
    <row r="165" s="44" customFormat="1" ht="14.25"/>
    <row r="166" spans="1:2" s="44" customFormat="1" ht="15">
      <c r="A166" s="38" t="s">
        <v>200</v>
      </c>
      <c r="B166" s="38" t="s">
        <v>129</v>
      </c>
    </row>
    <row r="167" s="44" customFormat="1" ht="14.25"/>
    <row r="168" s="44" customFormat="1" ht="14.25"/>
    <row r="169" s="44" customFormat="1" ht="14.25"/>
    <row r="170" s="44" customFormat="1" ht="14.25"/>
    <row r="171" s="44" customFormat="1" ht="14.25"/>
    <row r="172" spans="1:2" s="44" customFormat="1" ht="15">
      <c r="A172" s="38" t="s">
        <v>201</v>
      </c>
      <c r="B172" s="38" t="s">
        <v>202</v>
      </c>
    </row>
    <row r="173" s="44" customFormat="1" ht="14.25"/>
    <row r="174" s="44" customFormat="1" ht="14.25"/>
    <row r="175" s="44" customFormat="1" ht="14.25"/>
    <row r="176" s="44" customFormat="1" ht="14.25"/>
    <row r="177" s="44" customFormat="1" ht="14.25"/>
    <row r="178" s="44" customFormat="1" ht="14.25"/>
    <row r="179" s="44" customFormat="1" ht="14.25"/>
    <row r="180" spans="1:2" s="44" customFormat="1" ht="15">
      <c r="A180" s="38" t="s">
        <v>203</v>
      </c>
      <c r="B180" s="38" t="s">
        <v>204</v>
      </c>
    </row>
    <row r="181" s="44" customFormat="1" ht="14.25"/>
    <row r="182" s="44" customFormat="1" ht="14.25"/>
    <row r="183" s="44" customFormat="1" ht="14.25"/>
    <row r="184" s="44" customFormat="1" ht="14.25"/>
    <row r="185" s="44" customFormat="1" ht="14.25"/>
    <row r="186" s="44" customFormat="1" ht="14.25"/>
    <row r="187" s="44" customFormat="1" ht="14.25"/>
    <row r="188" s="44" customFormat="1" ht="14.25"/>
    <row r="189" s="44" customFormat="1" ht="14.25"/>
    <row r="190" s="44" customFormat="1" ht="14.25"/>
    <row r="191" s="44" customFormat="1" ht="14.25"/>
    <row r="192" s="44" customFormat="1" ht="14.25"/>
    <row r="193" s="44" customFormat="1" ht="14.25"/>
    <row r="194" s="44" customFormat="1" ht="14.25"/>
    <row r="195" s="44" customFormat="1" ht="14.25"/>
    <row r="196" s="44" customFormat="1" ht="14.25"/>
    <row r="197" s="44" customFormat="1" ht="14.25"/>
    <row r="198" s="44" customFormat="1" ht="14.25"/>
    <row r="199" s="44" customFormat="1" ht="14.25"/>
    <row r="200" s="44" customFormat="1" ht="14.25"/>
    <row r="201" s="44" customFormat="1" ht="14.25"/>
    <row r="202" s="44" customFormat="1" ht="14.25"/>
    <row r="203" s="44" customFormat="1" ht="14.25"/>
    <row r="204" s="44" customFormat="1" ht="14.25"/>
    <row r="205" s="44" customFormat="1" ht="14.25"/>
    <row r="206" s="44" customFormat="1" ht="14.25"/>
    <row r="207" s="44" customFormat="1" ht="14.25"/>
    <row r="208" s="44" customFormat="1" ht="14.25"/>
    <row r="209" s="44" customFormat="1" ht="14.25"/>
    <row r="210" s="44" customFormat="1" ht="14.25"/>
    <row r="211" s="44" customFormat="1" ht="14.25"/>
    <row r="212" s="44" customFormat="1" ht="14.25"/>
    <row r="213" s="44" customFormat="1" ht="14.25"/>
    <row r="214" s="44" customFormat="1" ht="14.25"/>
    <row r="215" s="44" customFormat="1" ht="14.25"/>
    <row r="216" s="44" customFormat="1" ht="14.25"/>
    <row r="217" s="44" customFormat="1" ht="14.25"/>
    <row r="218" s="44" customFormat="1" ht="14.25"/>
    <row r="219" s="44" customFormat="1" ht="14.25"/>
    <row r="220" s="44" customFormat="1" ht="14.25"/>
    <row r="221" s="44" customFormat="1" ht="14.25"/>
    <row r="222" s="44" customFormat="1" ht="14.25"/>
    <row r="223" s="44" customFormat="1" ht="14.25"/>
    <row r="224" s="44" customFormat="1" ht="14.25"/>
    <row r="225" s="44" customFormat="1" ht="14.25"/>
    <row r="226" s="44" customFormat="1" ht="14.25"/>
    <row r="227" s="44" customFormat="1" ht="14.25"/>
    <row r="228" s="44" customFormat="1" ht="14.25"/>
    <row r="229" s="44" customFormat="1" ht="14.25"/>
    <row r="230" s="44" customFormat="1" ht="14.25"/>
    <row r="231" s="44" customFormat="1" ht="14.25"/>
    <row r="232" s="44" customFormat="1" ht="14.25"/>
    <row r="233" s="44" customFormat="1" ht="14.25"/>
    <row r="234" s="44" customFormat="1" ht="14.25"/>
    <row r="235" s="44" customFormat="1" ht="14.25"/>
    <row r="236" s="44" customFormat="1" ht="14.25"/>
    <row r="237" s="44" customFormat="1" ht="14.25"/>
    <row r="238" s="44" customFormat="1" ht="14.25"/>
    <row r="239" s="44" customFormat="1" ht="14.25"/>
    <row r="240" s="44" customFormat="1" ht="14.25"/>
    <row r="241" s="44" customFormat="1" ht="14.25"/>
    <row r="242" s="44" customFormat="1" ht="14.25"/>
    <row r="243" s="44" customFormat="1" ht="14.25"/>
    <row r="244" s="44" customFormat="1" ht="14.25"/>
    <row r="245" s="44" customFormat="1" ht="14.25"/>
    <row r="246" s="44" customFormat="1" ht="14.25"/>
    <row r="247" s="44" customFormat="1" ht="14.25"/>
    <row r="248" s="44" customFormat="1" ht="14.25"/>
    <row r="249" s="44" customFormat="1" ht="14.25"/>
    <row r="250" s="44" customFormat="1" ht="14.25"/>
    <row r="251" s="44" customFormat="1" ht="14.25"/>
    <row r="252" s="44" customFormat="1" ht="14.25"/>
    <row r="253" s="44" customFormat="1" ht="14.25"/>
    <row r="254" s="44" customFormat="1" ht="14.25"/>
    <row r="255" s="44" customFormat="1" ht="14.25"/>
    <row r="256" s="44" customFormat="1" ht="14.25"/>
    <row r="257" s="44" customFormat="1" ht="14.25"/>
    <row r="258" s="44" customFormat="1" ht="14.25"/>
    <row r="259" s="44" customFormat="1" ht="14.25"/>
    <row r="260" s="44" customFormat="1" ht="14.25"/>
    <row r="261" s="44" customFormat="1" ht="14.25"/>
    <row r="262" s="44" customFormat="1" ht="14.25"/>
    <row r="263" s="44" customFormat="1" ht="14.25"/>
    <row r="264" s="44" customFormat="1" ht="14.25"/>
    <row r="265" s="44" customFormat="1" ht="14.25"/>
    <row r="266" s="44" customFormat="1" ht="14.25"/>
    <row r="267" s="44" customFormat="1" ht="14.25"/>
    <row r="268" s="44" customFormat="1" ht="14.25"/>
    <row r="269" s="44" customFormat="1" ht="14.25"/>
    <row r="270" s="44" customFormat="1" ht="14.25"/>
    <row r="271" s="44" customFormat="1" ht="14.25"/>
    <row r="272" s="44" customFormat="1" ht="14.25"/>
    <row r="273" s="44" customFormat="1" ht="14.25"/>
    <row r="274" s="44" customFormat="1" ht="14.25"/>
    <row r="275" s="44" customFormat="1" ht="14.25"/>
    <row r="276" s="44" customFormat="1" ht="14.25"/>
    <row r="277" s="44" customFormat="1" ht="14.25"/>
    <row r="278" s="44" customFormat="1" ht="14.25"/>
    <row r="279" s="44" customFormat="1" ht="14.25"/>
    <row r="280" s="44" customFormat="1" ht="14.25"/>
    <row r="281" s="44" customFormat="1" ht="14.25"/>
    <row r="282" s="44" customFormat="1" ht="14.25"/>
    <row r="283" s="44" customFormat="1" ht="14.25"/>
    <row r="284" s="44" customFormat="1" ht="14.25"/>
    <row r="285" s="44" customFormat="1" ht="14.25"/>
    <row r="286" s="44" customFormat="1" ht="14.25"/>
    <row r="287" s="44" customFormat="1" ht="14.25"/>
    <row r="288" s="44" customFormat="1" ht="14.25"/>
    <row r="289" s="44" customFormat="1" ht="14.25"/>
    <row r="290" s="44" customFormat="1" ht="14.25"/>
    <row r="291" s="44" customFormat="1" ht="14.25"/>
    <row r="292" s="44" customFormat="1" ht="14.25"/>
    <row r="293" s="44" customFormat="1" ht="14.25"/>
    <row r="294" s="44" customFormat="1" ht="14.25"/>
    <row r="295" s="44" customFormat="1" ht="14.25"/>
    <row r="296" s="44" customFormat="1" ht="14.25"/>
    <row r="297" s="44" customFormat="1" ht="14.25"/>
    <row r="298" s="44" customFormat="1" ht="14.25"/>
    <row r="299" s="44" customFormat="1" ht="14.25"/>
    <row r="300" s="44" customFormat="1" ht="14.25"/>
    <row r="301" s="44" customFormat="1" ht="14.25"/>
    <row r="302" s="44" customFormat="1" ht="14.25"/>
    <row r="303" s="44" customFormat="1" ht="14.25"/>
    <row r="304" s="44" customFormat="1" ht="14.25"/>
    <row r="305" s="44" customFormat="1" ht="14.25"/>
    <row r="306" s="44" customFormat="1" ht="14.25"/>
    <row r="307" s="44" customFormat="1" ht="14.25"/>
    <row r="308" s="44" customFormat="1" ht="14.25"/>
    <row r="309" s="44" customFormat="1" ht="14.25"/>
    <row r="310" s="44" customFormat="1" ht="14.25"/>
    <row r="311" s="44" customFormat="1" ht="14.25"/>
    <row r="312" s="44" customFormat="1" ht="14.25"/>
    <row r="313" s="44" customFormat="1" ht="14.25"/>
    <row r="314" s="44" customFormat="1" ht="14.25"/>
    <row r="315" s="44" customFormat="1" ht="14.25"/>
    <row r="316" s="44" customFormat="1" ht="14.25"/>
    <row r="317" s="44" customFormat="1" ht="14.25"/>
    <row r="318" s="44" customFormat="1" ht="14.25"/>
    <row r="319" s="44" customFormat="1" ht="14.25"/>
    <row r="320" s="44" customFormat="1" ht="14.25"/>
    <row r="321" s="44" customFormat="1" ht="14.25"/>
    <row r="322" s="44" customFormat="1" ht="14.25"/>
    <row r="323" s="44" customFormat="1" ht="14.25"/>
    <row r="324" s="44" customFormat="1" ht="14.25"/>
    <row r="325" s="44" customFormat="1" ht="14.25"/>
    <row r="326" s="44" customFormat="1" ht="14.25"/>
    <row r="327" s="44" customFormat="1" ht="14.25"/>
    <row r="328" s="44" customFormat="1" ht="14.25"/>
    <row r="329" s="44" customFormat="1" ht="14.25"/>
    <row r="330" s="44" customFormat="1" ht="14.25"/>
    <row r="331" s="44" customFormat="1" ht="14.25"/>
    <row r="332" s="44" customFormat="1" ht="14.25"/>
    <row r="333" s="44" customFormat="1" ht="14.25"/>
    <row r="334" s="44" customFormat="1" ht="14.25"/>
    <row r="335" s="44" customFormat="1" ht="14.25"/>
    <row r="336" s="44" customFormat="1" ht="14.25"/>
    <row r="337" s="44" customFormat="1" ht="14.25"/>
    <row r="338" s="44" customFormat="1" ht="14.25"/>
    <row r="339" s="44" customFormat="1" ht="14.25"/>
    <row r="340" s="44" customFormat="1" ht="14.25"/>
    <row r="341" s="44" customFormat="1" ht="14.25"/>
    <row r="342" s="44" customFormat="1" ht="14.25"/>
    <row r="343" s="44" customFormat="1" ht="14.25"/>
    <row r="344" s="44" customFormat="1" ht="14.25"/>
    <row r="345" s="44" customFormat="1" ht="14.25"/>
    <row r="346" s="44" customFormat="1" ht="14.25"/>
    <row r="347" s="44" customFormat="1" ht="14.25"/>
    <row r="348" s="44" customFormat="1" ht="14.25"/>
    <row r="349" s="44" customFormat="1" ht="14.25"/>
    <row r="350" s="44" customFormat="1" ht="14.25"/>
    <row r="351" s="44" customFormat="1" ht="14.25"/>
    <row r="352" s="44" customFormat="1" ht="14.25"/>
    <row r="353" s="44" customFormat="1" ht="14.25"/>
    <row r="354" s="44" customFormat="1" ht="14.25"/>
    <row r="355" s="44" customFormat="1" ht="14.25"/>
    <row r="356" s="44" customFormat="1" ht="14.25"/>
    <row r="357" s="44" customFormat="1" ht="14.25"/>
    <row r="358" s="44" customFormat="1" ht="14.25"/>
    <row r="359" s="44" customFormat="1" ht="14.25"/>
    <row r="360" s="44" customFormat="1" ht="14.25"/>
    <row r="361" s="44" customFormat="1" ht="14.25"/>
    <row r="362" s="44" customFormat="1" ht="14.25"/>
    <row r="363" s="44" customFormat="1" ht="14.25"/>
    <row r="364" s="44" customFormat="1" ht="14.25"/>
    <row r="365" s="44" customFormat="1" ht="14.25"/>
    <row r="366" s="44" customFormat="1" ht="14.25"/>
    <row r="367" s="44" customFormat="1" ht="14.25"/>
    <row r="368" s="44" customFormat="1" ht="14.25"/>
    <row r="369" s="44" customFormat="1" ht="14.25"/>
    <row r="370" s="44" customFormat="1" ht="14.25"/>
    <row r="371" s="44" customFormat="1" ht="14.25"/>
    <row r="372" s="44" customFormat="1" ht="14.25"/>
    <row r="373" s="44" customFormat="1" ht="14.25"/>
    <row r="374" s="44" customFormat="1" ht="14.25"/>
    <row r="375" s="44" customFormat="1" ht="14.25"/>
    <row r="376" s="44" customFormat="1" ht="14.25"/>
    <row r="377" s="44" customFormat="1" ht="14.25"/>
    <row r="378" s="44" customFormat="1" ht="14.25"/>
    <row r="379" s="44" customFormat="1" ht="14.25"/>
    <row r="380" s="44" customFormat="1" ht="14.25"/>
    <row r="381" s="44" customFormat="1" ht="14.25"/>
    <row r="382" s="44" customFormat="1" ht="14.25"/>
    <row r="383" s="44" customFormat="1" ht="14.25"/>
    <row r="384" s="44" customFormat="1" ht="14.25"/>
    <row r="385" s="44" customFormat="1" ht="14.25"/>
    <row r="386" s="44" customFormat="1" ht="14.25"/>
    <row r="387" s="44" customFormat="1" ht="14.25"/>
  </sheetData>
  <sheetProtection/>
  <mergeCells count="34">
    <mergeCell ref="I146:J146"/>
    <mergeCell ref="G146:H146"/>
    <mergeCell ref="E116:H116"/>
    <mergeCell ref="I116:K116"/>
    <mergeCell ref="E117:F117"/>
    <mergeCell ref="G117:H117"/>
    <mergeCell ref="I117:J117"/>
    <mergeCell ref="E118:F118"/>
    <mergeCell ref="G118:H118"/>
    <mergeCell ref="I118:J118"/>
    <mergeCell ref="E123:F123"/>
    <mergeCell ref="G123:H123"/>
    <mergeCell ref="I119:J119"/>
    <mergeCell ref="E120:F120"/>
    <mergeCell ref="G120:H120"/>
    <mergeCell ref="I120:J120"/>
    <mergeCell ref="E119:F119"/>
    <mergeCell ref="G119:H119"/>
    <mergeCell ref="I121:J121"/>
    <mergeCell ref="E122:F122"/>
    <mergeCell ref="G122:H122"/>
    <mergeCell ref="I122:J122"/>
    <mergeCell ref="E121:F121"/>
    <mergeCell ref="G121:H121"/>
    <mergeCell ref="I123:J123"/>
    <mergeCell ref="E126:F126"/>
    <mergeCell ref="G126:H126"/>
    <mergeCell ref="I126:J126"/>
    <mergeCell ref="E124:F124"/>
    <mergeCell ref="G124:H124"/>
    <mergeCell ref="I124:J124"/>
    <mergeCell ref="E125:F125"/>
    <mergeCell ref="G125:H125"/>
    <mergeCell ref="I125:J125"/>
  </mergeCells>
  <printOptions/>
  <pageMargins left="0.32" right="0.43" top="0.32" bottom="0.66" header="0.23" footer="0.41"/>
  <pageSetup horizontalDpi="600" verticalDpi="600" orientation="portrait" paperSize="9" scale="75" r:id="rId2"/>
  <headerFooter alignWithMargins="0">
    <oddFooter>&amp;C&amp;8page &amp;P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D14" sqref="D14"/>
    </sheetView>
  </sheetViews>
  <sheetFormatPr defaultColWidth="9.140625" defaultRowHeight="12.75"/>
  <cols>
    <col min="1" max="1" width="3.7109375" style="16" customWidth="1"/>
    <col min="2" max="2" width="46.7109375" style="16" customWidth="1"/>
    <col min="3" max="3" width="9.140625" style="16" customWidth="1"/>
    <col min="4" max="5" width="14.28125" style="16" bestFit="1" customWidth="1"/>
    <col min="6" max="6" width="13.140625" style="19" customWidth="1"/>
    <col min="7" max="7" width="9.140625" style="16" customWidth="1"/>
    <col min="8" max="8" width="10.28125" style="16" bestFit="1" customWidth="1"/>
    <col min="9" max="16384" width="9.140625" style="16" customWidth="1"/>
  </cols>
  <sheetData>
    <row r="1" ht="15.75">
      <c r="A1" s="30" t="s">
        <v>71</v>
      </c>
    </row>
    <row r="2" ht="12.75">
      <c r="A2" s="16" t="s">
        <v>62</v>
      </c>
    </row>
    <row r="3" ht="12.75">
      <c r="A3" s="32" t="s">
        <v>22</v>
      </c>
    </row>
    <row r="4" ht="12.75">
      <c r="A4" s="32" t="s">
        <v>464</v>
      </c>
    </row>
    <row r="5" ht="12.75">
      <c r="A5" s="33" t="s">
        <v>23</v>
      </c>
    </row>
    <row r="7" ht="12.75">
      <c r="A7" s="9" t="s">
        <v>175</v>
      </c>
    </row>
    <row r="8" spans="1:6" ht="12.75">
      <c r="A8" s="9" t="s">
        <v>473</v>
      </c>
      <c r="F8" s="16"/>
    </row>
    <row r="9" spans="1:5" ht="12.75">
      <c r="A9" s="9"/>
      <c r="D9" s="39" t="s">
        <v>173</v>
      </c>
      <c r="E9" s="39" t="s">
        <v>173</v>
      </c>
    </row>
    <row r="10" spans="1:5" ht="12.75">
      <c r="A10" s="9"/>
      <c r="D10" s="39" t="s">
        <v>174</v>
      </c>
      <c r="E10" s="39" t="s">
        <v>174</v>
      </c>
    </row>
    <row r="11" spans="1:5" ht="12.75">
      <c r="A11" s="40"/>
      <c r="D11" s="39" t="s">
        <v>243</v>
      </c>
      <c r="E11" s="78" t="s">
        <v>237</v>
      </c>
    </row>
    <row r="12" spans="1:5" ht="12.75">
      <c r="A12" s="9" t="s">
        <v>48</v>
      </c>
      <c r="D12" s="78" t="s">
        <v>4</v>
      </c>
      <c r="E12" s="39" t="s">
        <v>4</v>
      </c>
    </row>
    <row r="13" spans="4:5" ht="12.75">
      <c r="D13" s="19"/>
      <c r="E13" s="19"/>
    </row>
    <row r="14" spans="1:8" ht="12.75">
      <c r="A14" s="9" t="s">
        <v>104</v>
      </c>
      <c r="D14" s="26" t="e">
        <f>-'WK Cashflow worksheet(H)'!K13-'WK Cashflow worksheet(H)'!K22</f>
        <v>#REF!</v>
      </c>
      <c r="E14" s="19">
        <v>6260950.93380771</v>
      </c>
      <c r="H14" s="64"/>
    </row>
    <row r="15" spans="4:8" ht="12.75">
      <c r="D15" s="19"/>
      <c r="E15" s="19"/>
      <c r="H15" s="64"/>
    </row>
    <row r="16" spans="1:8" ht="12.75">
      <c r="A16" s="9" t="s">
        <v>218</v>
      </c>
      <c r="D16" s="19">
        <f>-'WK Cashflow worksheet(H)'!K4-'WK Cashflow worksheet(H)'!K7-'WK Cashflow worksheet(H)'!K8-'WK Cashflow worksheet(H)'!K78</f>
        <v>3329891.7799999993</v>
      </c>
      <c r="E16" s="19">
        <v>3616373.34</v>
      </c>
      <c r="H16" s="64"/>
    </row>
    <row r="17" spans="4:8" ht="12.75">
      <c r="D17" s="19"/>
      <c r="E17" s="19"/>
      <c r="H17" s="64"/>
    </row>
    <row r="18" spans="1:8" ht="12.75">
      <c r="A18" s="9" t="s">
        <v>105</v>
      </c>
      <c r="D18" s="19">
        <f>-'WK Cashflow worksheet(H)'!K36</f>
        <v>8564425.620000001</v>
      </c>
      <c r="E18" s="19">
        <v>8559250.64</v>
      </c>
      <c r="H18" s="64"/>
    </row>
    <row r="19" spans="4:8" ht="12.75">
      <c r="D19" s="18"/>
      <c r="E19" s="18"/>
      <c r="H19" s="64"/>
    </row>
    <row r="20" spans="1:8" ht="12.75">
      <c r="A20" s="9" t="s">
        <v>108</v>
      </c>
      <c r="D20" s="19" t="e">
        <f>D14+D16+D18</f>
        <v>#REF!</v>
      </c>
      <c r="E20" s="19">
        <v>18436574.913807712</v>
      </c>
      <c r="H20" s="64"/>
    </row>
    <row r="21" spans="4:8" ht="12.75">
      <c r="D21" s="19"/>
      <c r="E21" s="19"/>
      <c r="H21" s="64"/>
    </row>
    <row r="22" spans="1:8" ht="12.75">
      <c r="A22" s="9" t="s">
        <v>471</v>
      </c>
      <c r="D22" s="19">
        <f>-'[2]WK Cashflow worksheet'!K15</f>
        <v>46470</v>
      </c>
      <c r="E22" s="19">
        <v>46470</v>
      </c>
      <c r="H22" s="64"/>
    </row>
    <row r="23" spans="1:8" ht="12.75">
      <c r="A23" s="9"/>
      <c r="D23" s="19"/>
      <c r="E23" s="19"/>
      <c r="H23" s="64"/>
    </row>
    <row r="24" spans="1:8" ht="13.5" thickBot="1">
      <c r="A24" s="9" t="s">
        <v>217</v>
      </c>
      <c r="D24" s="41" t="e">
        <f>SUM(D20:D22)</f>
        <v>#REF!</v>
      </c>
      <c r="E24" s="41">
        <v>18483044.913807712</v>
      </c>
      <c r="H24" s="64"/>
    </row>
    <row r="25" ht="13.5" thickTop="1"/>
    <row r="27" spans="1:5" ht="12.75">
      <c r="A27" s="83" t="s">
        <v>116</v>
      </c>
      <c r="B27" s="452" t="s">
        <v>225</v>
      </c>
      <c r="C27" s="452"/>
      <c r="D27" s="452"/>
      <c r="E27" s="452"/>
    </row>
    <row r="28" spans="1:5" ht="15.75" customHeight="1">
      <c r="A28" s="83"/>
      <c r="B28" s="84" t="s">
        <v>233</v>
      </c>
      <c r="C28"/>
      <c r="D28"/>
      <c r="E28"/>
    </row>
    <row r="29" spans="1:5" ht="12.75">
      <c r="A29" s="85"/>
      <c r="B29" s="86"/>
      <c r="C29" s="87"/>
      <c r="D29" s="88" t="s">
        <v>4</v>
      </c>
      <c r="E29" s="87"/>
    </row>
    <row r="30" spans="1:5" ht="12.75">
      <c r="A30" s="85"/>
      <c r="B30" s="86"/>
      <c r="C30" s="87"/>
      <c r="D30" s="87"/>
      <c r="E30" s="87"/>
    </row>
    <row r="31" spans="1:5" ht="12.75">
      <c r="A31" s="85"/>
      <c r="B31" s="86" t="s">
        <v>210</v>
      </c>
      <c r="C31" s="87"/>
      <c r="D31" s="89">
        <f>'[2]WK Cashflow worksheet'!D93</f>
        <v>1304559.83</v>
      </c>
      <c r="E31" s="87"/>
    </row>
    <row r="32" spans="1:5" ht="12.75">
      <c r="A32" s="85"/>
      <c r="B32" s="86" t="s">
        <v>211</v>
      </c>
      <c r="C32" s="87"/>
      <c r="D32" s="89">
        <f>'[2]WK Cashflow worksheet'!D90+'[2]WK Cashflow worksheet'!D91+'[2]WK Cashflow worksheet'!D92</f>
        <v>7316850.23</v>
      </c>
      <c r="E32" s="87"/>
    </row>
    <row r="33" spans="1:5" ht="12.75">
      <c r="A33" s="85"/>
      <c r="B33" s="86" t="s">
        <v>29</v>
      </c>
      <c r="C33" s="87"/>
      <c r="D33" s="90">
        <f>'[2]WK Cashflow worksheet'!D94+'[2]WK Cashflow worksheet'!D95</f>
        <v>-4645574.23</v>
      </c>
      <c r="E33" s="87"/>
    </row>
    <row r="34" spans="1:5" ht="12.75">
      <c r="A34" s="85"/>
      <c r="B34" s="91" t="s">
        <v>212</v>
      </c>
      <c r="C34" s="87"/>
      <c r="D34" s="89">
        <f>SUM(D31:D33)</f>
        <v>3975835.83</v>
      </c>
      <c r="E34" s="87"/>
    </row>
    <row r="35" spans="1:5" ht="12.75">
      <c r="A35" s="85"/>
      <c r="B35" s="87" t="s">
        <v>14</v>
      </c>
      <c r="C35" s="87"/>
      <c r="D35" s="90">
        <f>'[2]WK Cashflow worksheet'!D99-0.6</f>
        <v>1747390.29</v>
      </c>
      <c r="E35" s="87"/>
    </row>
    <row r="36" spans="1:5" ht="12.75">
      <c r="A36" s="85"/>
      <c r="B36" s="86" t="s">
        <v>213</v>
      </c>
      <c r="C36" s="87"/>
      <c r="D36" s="89">
        <f>SUM(D34:D35)</f>
        <v>5723226.12</v>
      </c>
      <c r="E36" s="87"/>
    </row>
    <row r="37" spans="1:5" ht="12.75">
      <c r="A37" s="85"/>
      <c r="B37" s="86" t="s">
        <v>219</v>
      </c>
      <c r="C37" s="87"/>
      <c r="D37" s="92">
        <f>'[2]WK Cashflow worksheet'!D97</f>
        <v>-5723226</v>
      </c>
      <c r="E37" s="87"/>
    </row>
    <row r="38" spans="1:5" ht="12.75">
      <c r="A38" s="85"/>
      <c r="B38" s="86" t="s">
        <v>214</v>
      </c>
      <c r="C38" s="87"/>
      <c r="D38" s="89">
        <f>'[2]WK Cashflow worksheet'!D98</f>
        <v>-3987611.4299999997</v>
      </c>
      <c r="E38" s="87"/>
    </row>
    <row r="39" spans="1:5" ht="13.5" thickBot="1">
      <c r="A39" s="85"/>
      <c r="B39" s="86" t="s">
        <v>221</v>
      </c>
      <c r="C39" s="87"/>
      <c r="D39" s="93">
        <f>SUM(D36:D38)</f>
        <v>-3987611.3099999996</v>
      </c>
      <c r="E39" s="87"/>
    </row>
    <row r="40" spans="1:5" ht="13.5" thickTop="1">
      <c r="A40" s="85"/>
      <c r="E40" s="87"/>
    </row>
    <row r="41" spans="1:5" ht="12.75">
      <c r="A41" s="85"/>
      <c r="B41" s="86"/>
      <c r="C41" s="87"/>
      <c r="D41" s="89"/>
      <c r="E41" s="87"/>
    </row>
    <row r="42" spans="1:5" ht="12.75">
      <c r="A42" s="85"/>
      <c r="B42" s="86"/>
      <c r="C42" s="87"/>
      <c r="D42" s="87"/>
      <c r="E42" s="87"/>
    </row>
    <row r="43" spans="1:5" ht="12.75">
      <c r="A43" s="85" t="s">
        <v>215</v>
      </c>
      <c r="B43" s="86" t="s">
        <v>216</v>
      </c>
      <c r="C43" s="87"/>
      <c r="D43" s="87"/>
      <c r="E43" s="87"/>
    </row>
    <row r="44" spans="1:5" ht="12.75">
      <c r="A44" s="85"/>
      <c r="B44" s="86"/>
      <c r="C44" s="87"/>
      <c r="D44" s="88" t="s">
        <v>469</v>
      </c>
      <c r="E44" s="88" t="s">
        <v>469</v>
      </c>
    </row>
    <row r="45" spans="1:5" ht="12.75">
      <c r="A45" s="85"/>
      <c r="B45" s="86"/>
      <c r="C45" s="87"/>
      <c r="D45" s="88" t="s">
        <v>243</v>
      </c>
      <c r="E45" s="88" t="s">
        <v>237</v>
      </c>
    </row>
    <row r="46" spans="1:5" ht="12.75">
      <c r="A46" s="85"/>
      <c r="B46" s="86"/>
      <c r="C46" s="87"/>
      <c r="D46" s="88" t="s">
        <v>4</v>
      </c>
      <c r="E46" s="88" t="s">
        <v>4</v>
      </c>
    </row>
    <row r="47" spans="1:5" ht="12.75">
      <c r="A47" s="85"/>
      <c r="B47" s="86" t="s">
        <v>94</v>
      </c>
      <c r="C47" s="87"/>
      <c r="D47" s="89">
        <v>917666.78</v>
      </c>
      <c r="E47" s="298">
        <v>1666801.45</v>
      </c>
    </row>
    <row r="48" spans="1:6" ht="12.75">
      <c r="A48" s="85"/>
      <c r="B48" s="86" t="s">
        <v>220</v>
      </c>
      <c r="C48" s="87"/>
      <c r="D48" s="92">
        <v>18088912.63</v>
      </c>
      <c r="E48" s="298">
        <v>16816243.86</v>
      </c>
      <c r="F48" s="16"/>
    </row>
    <row r="49" spans="1:6" ht="13.5" thickBot="1">
      <c r="A49" s="85"/>
      <c r="B49" s="86"/>
      <c r="C49" s="87"/>
      <c r="D49" s="278">
        <v>19006579.41</v>
      </c>
      <c r="E49" s="299">
        <v>18483045.31</v>
      </c>
      <c r="F49" s="16"/>
    </row>
    <row r="50" ht="13.5" thickTop="1"/>
    <row r="59" ht="12.75">
      <c r="A59" s="16" t="s">
        <v>172</v>
      </c>
    </row>
    <row r="60" ht="12.75">
      <c r="A60" s="16" t="s">
        <v>167</v>
      </c>
    </row>
  </sheetData>
  <sheetProtection/>
  <mergeCells count="1">
    <mergeCell ref="B27:E27"/>
  </mergeCells>
  <printOptions/>
  <pageMargins left="0.75" right="0.75" top="1" bottom="1" header="0.5" footer="0.5"/>
  <pageSetup fitToHeight="1" fitToWidth="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L103"/>
  <sheetViews>
    <sheetView zoomScale="80" zoomScaleNormal="80" zoomScalePageLayoutView="0" workbookViewId="0" topLeftCell="A1">
      <pane xSplit="1" ySplit="3" topLeftCell="B91"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10" customWidth="1"/>
    <col min="3" max="3" width="17.28125" style="10" customWidth="1"/>
    <col min="4" max="4" width="15.8515625" style="10" customWidth="1"/>
    <col min="5" max="5" width="15.00390625" style="0" customWidth="1"/>
    <col min="6" max="6" width="13.421875" style="10" bestFit="1" customWidth="1"/>
    <col min="7" max="7" width="16.28125" style="10" customWidth="1"/>
    <col min="8" max="8" width="13.00390625" style="0" bestFit="1" customWidth="1"/>
    <col min="9" max="9" width="9.421875" style="0" bestFit="1" customWidth="1"/>
    <col min="10" max="11" width="15.140625" style="0" bestFit="1" customWidth="1"/>
    <col min="13" max="13" width="12.00390625" style="0" customWidth="1"/>
  </cols>
  <sheetData>
    <row r="1" ht="15">
      <c r="A1" s="38" t="s">
        <v>0</v>
      </c>
    </row>
    <row r="2" spans="1:8" ht="15">
      <c r="A2" s="38" t="s">
        <v>81</v>
      </c>
      <c r="B2" s="39" t="s">
        <v>102</v>
      </c>
      <c r="C2" s="39" t="s">
        <v>102</v>
      </c>
      <c r="D2" s="10" t="s">
        <v>83</v>
      </c>
      <c r="E2" t="s">
        <v>98</v>
      </c>
      <c r="F2" s="10" t="s">
        <v>70</v>
      </c>
      <c r="G2" s="10" t="s">
        <v>106</v>
      </c>
      <c r="H2" s="10" t="s">
        <v>103</v>
      </c>
    </row>
    <row r="3" spans="2:11" ht="12.75">
      <c r="B3" s="10" t="s">
        <v>470</v>
      </c>
      <c r="C3" s="36" t="s">
        <v>82</v>
      </c>
      <c r="D3" s="10" t="s">
        <v>84</v>
      </c>
      <c r="E3" t="s">
        <v>47</v>
      </c>
      <c r="F3" s="10" t="s">
        <v>47</v>
      </c>
      <c r="G3" s="10" t="s">
        <v>47</v>
      </c>
      <c r="H3" s="10" t="s">
        <v>47</v>
      </c>
      <c r="K3" s="10" t="s">
        <v>84</v>
      </c>
    </row>
    <row r="4" spans="1:12" ht="12.75">
      <c r="A4" s="9" t="s">
        <v>24</v>
      </c>
      <c r="B4" s="77">
        <f>'Balance Sheet'!I13</f>
        <v>1591294.43</v>
      </c>
      <c r="C4" s="77"/>
      <c r="D4" s="77">
        <f>B4-C4</f>
        <v>1591294.43</v>
      </c>
      <c r="E4" s="280">
        <f>-D95</f>
        <v>-1304559.83</v>
      </c>
      <c r="F4" s="283">
        <f>-F62</f>
        <v>35984.33</v>
      </c>
      <c r="G4" s="77"/>
      <c r="H4" s="20"/>
      <c r="I4" s="20"/>
      <c r="J4" s="284">
        <f>SUM(D4:I4)</f>
        <v>322718.9299999999</v>
      </c>
      <c r="K4" s="20">
        <f>J4</f>
        <v>322718.9299999999</v>
      </c>
      <c r="L4" t="s">
        <v>227</v>
      </c>
    </row>
    <row r="5" spans="1:11" ht="12.75">
      <c r="A5" s="9" t="s">
        <v>6</v>
      </c>
      <c r="B5" s="77">
        <f>'Balance Sheet'!I14</f>
        <v>0</v>
      </c>
      <c r="C5" s="77"/>
      <c r="D5" s="77"/>
      <c r="E5" s="20"/>
      <c r="F5" s="77"/>
      <c r="G5" s="77"/>
      <c r="H5" s="20"/>
      <c r="I5" s="20"/>
      <c r="J5" s="20"/>
      <c r="K5" s="20"/>
    </row>
    <row r="6" spans="1:11" ht="12.75">
      <c r="A6" s="9" t="s">
        <v>18</v>
      </c>
      <c r="B6" s="77">
        <f>'Balance Sheet'!I15</f>
        <v>0</v>
      </c>
      <c r="C6" s="77"/>
      <c r="D6" s="77"/>
      <c r="E6" s="20"/>
      <c r="F6" s="77"/>
      <c r="G6" s="77"/>
      <c r="H6" s="20"/>
      <c r="I6" s="20"/>
      <c r="J6" s="20"/>
      <c r="K6" s="20"/>
    </row>
    <row r="7" spans="1:11" ht="12.75">
      <c r="A7" s="9" t="s">
        <v>240</v>
      </c>
      <c r="B7" s="77">
        <f>'Balance Sheet'!I16</f>
        <v>200000</v>
      </c>
      <c r="C7" s="77"/>
      <c r="D7" s="77">
        <f>B7-C7</f>
        <v>200000</v>
      </c>
      <c r="E7" s="20"/>
      <c r="F7" s="77"/>
      <c r="G7" s="77"/>
      <c r="H7" s="20"/>
      <c r="I7" s="20"/>
      <c r="J7" s="284">
        <f>SUM(D7:I7)</f>
        <v>200000</v>
      </c>
      <c r="K7" s="20">
        <f>J7</f>
        <v>200000</v>
      </c>
    </row>
    <row r="8" spans="1:11" ht="12.75">
      <c r="A8" s="9" t="s">
        <v>239</v>
      </c>
      <c r="B8" s="77">
        <f>+'Balance Sheet'!I17</f>
        <v>135000</v>
      </c>
      <c r="C8" s="77"/>
      <c r="D8" s="77">
        <f>B8-C8</f>
        <v>135000</v>
      </c>
      <c r="E8" s="20"/>
      <c r="F8" s="77"/>
      <c r="G8" s="77"/>
      <c r="H8" s="20"/>
      <c r="I8" s="20"/>
      <c r="J8" s="284">
        <f>SUM(D8:I8)</f>
        <v>135000</v>
      </c>
      <c r="K8" s="20">
        <f>J8</f>
        <v>135000</v>
      </c>
    </row>
    <row r="9" spans="1:11" ht="12.75">
      <c r="A9" s="9" t="s">
        <v>5</v>
      </c>
      <c r="B9" s="77">
        <f>'Balance Sheet'!I18</f>
        <v>1601774.4100000001</v>
      </c>
      <c r="C9" s="77"/>
      <c r="D9" s="77">
        <f>B9-C9</f>
        <v>1601774.4100000001</v>
      </c>
      <c r="E9" s="280">
        <f>-D101</f>
        <v>-1747390.8900000001</v>
      </c>
      <c r="F9" s="283">
        <f>-F64</f>
        <v>29123.18</v>
      </c>
      <c r="G9" s="77"/>
      <c r="H9" s="20"/>
      <c r="I9" s="20"/>
      <c r="J9" s="20">
        <f>SUM(D9:I9)</f>
        <v>-116493.29999999999</v>
      </c>
      <c r="K9" s="20">
        <f>J9+J64</f>
        <v>-116493.29999999999</v>
      </c>
    </row>
    <row r="10" spans="2:11" ht="12.75">
      <c r="B10" s="77" t="s">
        <v>48</v>
      </c>
      <c r="C10" s="77"/>
      <c r="D10" s="77"/>
      <c r="E10" s="20"/>
      <c r="F10" s="77"/>
      <c r="G10" s="77"/>
      <c r="H10" s="20"/>
      <c r="I10" s="20"/>
      <c r="J10" s="20"/>
      <c r="K10" s="20"/>
    </row>
    <row r="11" spans="1:11" ht="12.75">
      <c r="A11" s="9" t="s">
        <v>25</v>
      </c>
      <c r="B11" s="77" t="s">
        <v>48</v>
      </c>
      <c r="C11" s="77"/>
      <c r="D11" s="77"/>
      <c r="E11" s="20"/>
      <c r="F11" s="77"/>
      <c r="G11" s="77"/>
      <c r="H11" s="20"/>
      <c r="I11" s="20"/>
      <c r="J11" s="20"/>
      <c r="K11" s="20"/>
    </row>
    <row r="12" spans="1:11" ht="12.75">
      <c r="A12" t="s">
        <v>28</v>
      </c>
      <c r="B12" s="77">
        <f>'Balance Sheet'!I21</f>
        <v>803525.85</v>
      </c>
      <c r="C12" s="77"/>
      <c r="D12" s="77">
        <f aca="true" t="shared" si="0" ref="D12:D18">B12-C12</f>
        <v>803525.85</v>
      </c>
      <c r="E12" s="276">
        <f>-(2164370.15)</f>
        <v>-2164370.15</v>
      </c>
      <c r="F12" s="77"/>
      <c r="G12" s="77"/>
      <c r="H12" s="20"/>
      <c r="I12" s="20"/>
      <c r="J12" s="282">
        <f aca="true" t="shared" si="1" ref="J12:J18">SUM(D12:I12)</f>
        <v>-1360844.2999999998</v>
      </c>
      <c r="K12" s="20"/>
    </row>
    <row r="13" spans="1:12" ht="12.75">
      <c r="A13" t="s">
        <v>26</v>
      </c>
      <c r="B13" s="77">
        <f>'Balance Sheet'!I22</f>
        <v>653548.1799999999</v>
      </c>
      <c r="C13" s="77"/>
      <c r="D13" s="77">
        <f t="shared" si="0"/>
        <v>653548.1799999999</v>
      </c>
      <c r="E13" s="106">
        <f>-D93</f>
        <v>-586605.15</v>
      </c>
      <c r="F13" s="77"/>
      <c r="G13" s="77">
        <f>-G47</f>
        <v>-3234675.62</v>
      </c>
      <c r="H13" s="20"/>
      <c r="I13" s="20"/>
      <c r="J13" s="282">
        <f t="shared" si="1"/>
        <v>-3167732.5900000003</v>
      </c>
      <c r="K13" s="282" t="e">
        <f>J13+J14+J66+J74+J12</f>
        <v>#REF!</v>
      </c>
      <c r="L13" t="s">
        <v>228</v>
      </c>
    </row>
    <row r="14" spans="1:11" ht="12.75">
      <c r="A14" t="s">
        <v>41</v>
      </c>
      <c r="B14" s="77">
        <f>'Balance Sheet'!I23</f>
        <v>570669.3399999999</v>
      </c>
      <c r="C14" s="77">
        <v>947104</v>
      </c>
      <c r="D14" s="77">
        <f t="shared" si="0"/>
        <v>-376434.66000000015</v>
      </c>
      <c r="E14" s="106">
        <f>-D94-E12</f>
        <v>-578263.5</v>
      </c>
      <c r="F14" s="77"/>
      <c r="G14" s="77"/>
      <c r="H14" s="20"/>
      <c r="I14" s="20"/>
      <c r="J14" s="282">
        <f t="shared" si="1"/>
        <v>-954698.1600000001</v>
      </c>
      <c r="K14" s="20"/>
    </row>
    <row r="15" spans="1:12" ht="12.75">
      <c r="A15" s="37" t="s">
        <v>100</v>
      </c>
      <c r="B15" s="77">
        <f>'Balance Sheet'!I24</f>
        <v>19081067.18</v>
      </c>
      <c r="C15" s="77"/>
      <c r="D15" s="77">
        <f t="shared" si="0"/>
        <v>19081067.18</v>
      </c>
      <c r="E15" s="106">
        <f>-D92</f>
        <v>-3987611.4299999997</v>
      </c>
      <c r="F15" s="77"/>
      <c r="G15" s="77"/>
      <c r="H15" s="20"/>
      <c r="I15" s="20"/>
      <c r="J15" s="20">
        <f t="shared" si="1"/>
        <v>15093455.75</v>
      </c>
      <c r="K15" s="20">
        <f>-SUM(C15:C17)</f>
        <v>-46470</v>
      </c>
      <c r="L15" t="s">
        <v>109</v>
      </c>
    </row>
    <row r="16" spans="1:12" ht="12.75">
      <c r="A16" s="37" t="s">
        <v>42</v>
      </c>
      <c r="B16" s="77">
        <f>'Balance Sheet'!I25</f>
        <v>1028149.22</v>
      </c>
      <c r="C16" s="77"/>
      <c r="D16" s="77">
        <f t="shared" si="0"/>
        <v>1028149.22</v>
      </c>
      <c r="E16" s="20"/>
      <c r="F16" s="77"/>
      <c r="G16" s="77"/>
      <c r="H16" s="20"/>
      <c r="I16" s="20"/>
      <c r="J16" s="20">
        <f t="shared" si="1"/>
        <v>1028149.22</v>
      </c>
      <c r="K16" s="20"/>
      <c r="L16" t="s">
        <v>48</v>
      </c>
    </row>
    <row r="17" spans="1:12" ht="12.75">
      <c r="A17" s="37" t="s">
        <v>27</v>
      </c>
      <c r="B17" s="77">
        <f>'Balance Sheet'!I26</f>
        <v>1807174.63</v>
      </c>
      <c r="C17" s="77">
        <v>46470</v>
      </c>
      <c r="D17" s="77">
        <f t="shared" si="0"/>
        <v>1760704.63</v>
      </c>
      <c r="E17" s="20"/>
      <c r="F17" s="77"/>
      <c r="G17" s="77"/>
      <c r="H17" s="20"/>
      <c r="I17" s="20"/>
      <c r="J17" s="20">
        <f t="shared" si="1"/>
        <v>1760704.63</v>
      </c>
      <c r="K17" s="66">
        <f>SUM(B15:B17)</f>
        <v>21916391.029999997</v>
      </c>
      <c r="L17" t="s">
        <v>110</v>
      </c>
    </row>
    <row r="18" spans="1:11" ht="12.75">
      <c r="A18" t="s">
        <v>46</v>
      </c>
      <c r="B18" s="77">
        <v>0</v>
      </c>
      <c r="C18" s="77"/>
      <c r="D18" s="77">
        <f t="shared" si="0"/>
        <v>0</v>
      </c>
      <c r="E18" s="20"/>
      <c r="F18" s="77"/>
      <c r="G18" s="77"/>
      <c r="H18" s="20"/>
      <c r="I18" s="20"/>
      <c r="J18" s="20">
        <f t="shared" si="1"/>
        <v>0</v>
      </c>
      <c r="K18" s="20"/>
    </row>
    <row r="19" spans="2:11" ht="12.75">
      <c r="B19" s="77" t="s">
        <v>48</v>
      </c>
      <c r="C19" s="77"/>
      <c r="D19" s="77"/>
      <c r="E19" s="20"/>
      <c r="F19" s="77"/>
      <c r="G19" s="77"/>
      <c r="H19" s="20"/>
      <c r="I19" s="20"/>
      <c r="J19" s="20"/>
      <c r="K19" s="20"/>
    </row>
    <row r="20" spans="2:11" ht="12.75">
      <c r="B20" s="77" t="s">
        <v>48</v>
      </c>
      <c r="C20" s="77"/>
      <c r="D20" s="77"/>
      <c r="E20" s="20"/>
      <c r="F20" s="77"/>
      <c r="G20" s="77"/>
      <c r="H20" s="20"/>
      <c r="I20" s="20"/>
      <c r="J20" s="20"/>
      <c r="K20" s="20"/>
    </row>
    <row r="21" spans="1:11" ht="12.75">
      <c r="A21" s="9" t="s">
        <v>29</v>
      </c>
      <c r="B21" s="77" t="s">
        <v>48</v>
      </c>
      <c r="C21" s="77"/>
      <c r="D21" s="77"/>
      <c r="E21" s="20"/>
      <c r="F21" s="77"/>
      <c r="G21" s="77"/>
      <c r="H21" s="20"/>
      <c r="I21" s="20"/>
      <c r="J21" s="20"/>
      <c r="K21" s="20"/>
    </row>
    <row r="22" spans="1:12" ht="12.75">
      <c r="A22" t="s">
        <v>30</v>
      </c>
      <c r="B22" s="77">
        <f>'Balance Sheet'!I30</f>
        <v>571477.78</v>
      </c>
      <c r="C22" s="77"/>
      <c r="D22" s="77">
        <f>C22-B22</f>
        <v>-571477.78</v>
      </c>
      <c r="E22" s="106">
        <f>-D96</f>
        <v>357089.36</v>
      </c>
      <c r="F22" s="77"/>
      <c r="G22" s="77">
        <f>-G49</f>
        <v>1711073.42</v>
      </c>
      <c r="H22" s="20"/>
      <c r="I22" s="20"/>
      <c r="J22" s="285">
        <f>SUM(D22:I22)</f>
        <v>1496685</v>
      </c>
      <c r="K22" s="286" t="e">
        <f>+J22+J23+J24+J42+J25+J26</f>
        <v>#REF!</v>
      </c>
      <c r="L22" t="s">
        <v>107</v>
      </c>
    </row>
    <row r="23" spans="1:11" ht="12.75">
      <c r="A23" t="s">
        <v>31</v>
      </c>
      <c r="B23" s="77">
        <f>'Balance Sheet'!I31</f>
        <v>673668.4100000001</v>
      </c>
      <c r="C23" s="77">
        <v>23659</v>
      </c>
      <c r="D23" s="77">
        <f>C23-B23</f>
        <v>-650009.4100000001</v>
      </c>
      <c r="E23" s="106">
        <f>-D97-E24-E25</f>
        <v>1173723</v>
      </c>
      <c r="F23" s="77"/>
      <c r="G23" s="77" t="e">
        <f>-G55-G53</f>
        <v>#REF!</v>
      </c>
      <c r="H23" s="20"/>
      <c r="I23" s="20"/>
      <c r="J23" s="285" t="e">
        <f>SUM(D23:I23)</f>
        <v>#REF!</v>
      </c>
      <c r="K23" s="20"/>
    </row>
    <row r="24" spans="1:11" ht="12.75">
      <c r="A24" t="s">
        <v>32</v>
      </c>
      <c r="B24" s="77">
        <f>'Balance Sheet'!I33</f>
        <v>66006.08</v>
      </c>
      <c r="C24" s="77"/>
      <c r="D24" s="77">
        <f>C24-B24</f>
        <v>-66006.08</v>
      </c>
      <c r="E24" s="276">
        <v>-15238.13</v>
      </c>
      <c r="F24" s="77"/>
      <c r="G24" s="77"/>
      <c r="H24" s="20">
        <f>-H70</f>
        <v>93816.6292</v>
      </c>
      <c r="I24" s="20"/>
      <c r="J24" s="285">
        <f>SUM(D24:I24)</f>
        <v>12572.41919999999</v>
      </c>
      <c r="K24" s="20"/>
    </row>
    <row r="25" spans="1:11" ht="12.75">
      <c r="A25" t="s">
        <v>224</v>
      </c>
      <c r="B25" s="77">
        <f>'Balance Sheet'!I32</f>
        <v>2823464</v>
      </c>
      <c r="C25" s="77"/>
      <c r="D25" s="77">
        <f>C25-B25</f>
        <v>-2823464</v>
      </c>
      <c r="E25" s="77">
        <v>3130000</v>
      </c>
      <c r="F25" s="77"/>
      <c r="G25" s="77"/>
      <c r="H25" s="20"/>
      <c r="I25" s="20"/>
      <c r="J25" s="285">
        <f>SUM(D25:I25)</f>
        <v>306536</v>
      </c>
      <c r="K25" s="20"/>
    </row>
    <row r="26" spans="1:11" ht="12.75">
      <c r="A26" t="s">
        <v>249</v>
      </c>
      <c r="B26" s="77">
        <f>+'Balance Sheet'!I34</f>
        <v>3741183.66</v>
      </c>
      <c r="C26" s="77"/>
      <c r="D26" s="77">
        <f>C26-B26</f>
        <v>-3741183.66</v>
      </c>
      <c r="E26" s="20"/>
      <c r="F26" s="77"/>
      <c r="G26" s="77"/>
      <c r="H26" s="20"/>
      <c r="I26" s="20"/>
      <c r="J26" s="285">
        <f>SUM(D26:I26)</f>
        <v>-3741183.66</v>
      </c>
      <c r="K26" s="20"/>
    </row>
    <row r="27" spans="2:11" ht="12.75">
      <c r="B27" s="77" t="s">
        <v>48</v>
      </c>
      <c r="C27" s="77"/>
      <c r="D27" s="77"/>
      <c r="E27" s="20"/>
      <c r="F27" s="77"/>
      <c r="G27" s="77"/>
      <c r="H27" s="20"/>
      <c r="I27" s="20"/>
      <c r="J27" s="20"/>
      <c r="K27" s="20"/>
    </row>
    <row r="28" spans="2:11" ht="12.75">
      <c r="B28" s="77" t="s">
        <v>48</v>
      </c>
      <c r="C28" s="77"/>
      <c r="D28" s="77"/>
      <c r="E28" s="20"/>
      <c r="F28" s="77"/>
      <c r="G28" s="77"/>
      <c r="H28" s="20"/>
      <c r="I28" s="20"/>
      <c r="J28" s="20"/>
      <c r="K28" s="20"/>
    </row>
    <row r="29" spans="1:11" ht="12.75">
      <c r="A29" s="9" t="s">
        <v>33</v>
      </c>
      <c r="B29" s="77" t="s">
        <v>48</v>
      </c>
      <c r="C29" s="77"/>
      <c r="D29" s="77"/>
      <c r="E29" s="20"/>
      <c r="F29" s="77"/>
      <c r="G29" s="77"/>
      <c r="H29" s="20"/>
      <c r="I29" s="20"/>
      <c r="J29" s="20"/>
      <c r="K29" s="20"/>
    </row>
    <row r="30" spans="2:11" ht="12.75">
      <c r="B30" s="77" t="s">
        <v>48</v>
      </c>
      <c r="C30" s="77"/>
      <c r="D30" s="77"/>
      <c r="E30" s="20"/>
      <c r="F30" s="77"/>
      <c r="G30" s="77"/>
      <c r="H30" s="20"/>
      <c r="I30" s="20"/>
      <c r="J30" s="20"/>
      <c r="K30" s="20"/>
    </row>
    <row r="31" spans="2:11" ht="12.75">
      <c r="B31" s="77" t="s">
        <v>48</v>
      </c>
      <c r="C31" s="77"/>
      <c r="D31" s="77"/>
      <c r="E31" s="20"/>
      <c r="F31" s="77"/>
      <c r="G31" s="77"/>
      <c r="H31" s="20"/>
      <c r="I31" s="20"/>
      <c r="J31" s="20"/>
      <c r="K31" s="20"/>
    </row>
    <row r="32" spans="2:11" ht="12.75">
      <c r="B32" s="77" t="s">
        <v>48</v>
      </c>
      <c r="C32" s="77"/>
      <c r="D32" s="77"/>
      <c r="E32" s="20"/>
      <c r="F32" s="77"/>
      <c r="G32" s="77"/>
      <c r="H32" s="20"/>
      <c r="I32" s="20"/>
      <c r="J32" s="20"/>
      <c r="K32" s="20"/>
    </row>
    <row r="33" spans="1:11" ht="12.75">
      <c r="A33" s="9" t="s">
        <v>34</v>
      </c>
      <c r="B33" s="77" t="s">
        <v>48</v>
      </c>
      <c r="C33" s="77"/>
      <c r="D33" s="77"/>
      <c r="E33" s="20"/>
      <c r="F33" s="77"/>
      <c r="G33" s="77"/>
      <c r="H33" s="20"/>
      <c r="I33" s="20"/>
      <c r="J33" s="20"/>
      <c r="K33" s="20"/>
    </row>
    <row r="34" spans="2:11" ht="12.75">
      <c r="B34" s="77" t="s">
        <v>48</v>
      </c>
      <c r="C34" s="77"/>
      <c r="D34" s="77"/>
      <c r="E34" s="20"/>
      <c r="F34" s="77"/>
      <c r="G34" s="77"/>
      <c r="H34" s="20"/>
      <c r="I34" s="20"/>
      <c r="J34" s="20"/>
      <c r="K34" s="20"/>
    </row>
    <row r="35" spans="1:11" ht="12.75">
      <c r="A35" s="9" t="s">
        <v>35</v>
      </c>
      <c r="B35" s="77">
        <f>'Balance Sheet'!I43</f>
        <v>9723226</v>
      </c>
      <c r="C35" s="77">
        <v>1000000</v>
      </c>
      <c r="D35" s="77">
        <f>C35-B35</f>
        <v>-8723226</v>
      </c>
      <c r="E35" s="106">
        <f>-D99</f>
        <v>5723226</v>
      </c>
      <c r="F35" s="77"/>
      <c r="G35" s="77"/>
      <c r="H35" s="20"/>
      <c r="I35" s="20"/>
      <c r="J35" s="20">
        <f>SUM(D35:I35)</f>
        <v>-3000000</v>
      </c>
      <c r="K35" s="20"/>
    </row>
    <row r="36" spans="1:12" ht="12.75">
      <c r="A36" s="9" t="s">
        <v>36</v>
      </c>
      <c r="B36" s="77">
        <f>'Balance Sheet'!I44</f>
        <v>5564425.62</v>
      </c>
      <c r="C36" s="77"/>
      <c r="D36" s="77">
        <f>C36-B36</f>
        <v>-5564425.62</v>
      </c>
      <c r="E36" s="20"/>
      <c r="F36" s="77"/>
      <c r="G36" s="77"/>
      <c r="H36" s="20"/>
      <c r="I36" s="20"/>
      <c r="J36" s="20">
        <f>SUM(D36:I36)</f>
        <v>-5564425.62</v>
      </c>
      <c r="K36" s="20">
        <f>J35+J36</f>
        <v>-8564425.620000001</v>
      </c>
      <c r="L36" t="s">
        <v>226</v>
      </c>
    </row>
    <row r="37" spans="1:12" ht="12.75">
      <c r="A37" s="9" t="s">
        <v>43</v>
      </c>
      <c r="B37" s="77">
        <f>'Balance Sheet'!I45</f>
        <v>4298751.659999999</v>
      </c>
      <c r="C37" s="77">
        <v>-30085</v>
      </c>
      <c r="D37" s="77"/>
      <c r="E37" s="20"/>
      <c r="F37" s="77"/>
      <c r="G37" s="77"/>
      <c r="H37" s="20"/>
      <c r="I37" s="20"/>
      <c r="J37" s="20">
        <f>SUM(D37:I37)</f>
        <v>0</v>
      </c>
      <c r="K37" s="20"/>
      <c r="L37" t="s">
        <v>230</v>
      </c>
    </row>
    <row r="38" spans="1:11" ht="12.75">
      <c r="A38" s="9"/>
      <c r="B38" s="77" t="s">
        <v>48</v>
      </c>
      <c r="C38" s="77"/>
      <c r="D38" s="77"/>
      <c r="E38" s="20"/>
      <c r="F38" s="77"/>
      <c r="G38" s="77"/>
      <c r="H38" s="20"/>
      <c r="I38" s="20"/>
      <c r="J38" s="20"/>
      <c r="K38" s="20"/>
    </row>
    <row r="39" spans="1:11" ht="12.75">
      <c r="A39" s="9" t="s">
        <v>37</v>
      </c>
      <c r="B39" s="77" t="s">
        <v>48</v>
      </c>
      <c r="C39" s="77"/>
      <c r="D39" s="77"/>
      <c r="E39" s="20"/>
      <c r="F39" s="77"/>
      <c r="G39" s="77"/>
      <c r="H39" s="20"/>
      <c r="I39" s="20"/>
      <c r="J39" s="20"/>
      <c r="K39" s="20"/>
    </row>
    <row r="40" spans="1:11" ht="12.75">
      <c r="A40" s="16"/>
      <c r="B40" s="77" t="s">
        <v>48</v>
      </c>
      <c r="C40" s="77"/>
      <c r="D40" s="77"/>
      <c r="E40" s="20"/>
      <c r="F40" s="77"/>
      <c r="G40" s="77"/>
      <c r="H40" s="20"/>
      <c r="I40" s="20"/>
      <c r="J40" s="20"/>
      <c r="K40" s="20"/>
    </row>
    <row r="41" spans="1:11" ht="12.75">
      <c r="A41" s="9" t="s">
        <v>44</v>
      </c>
      <c r="B41" s="77" t="s">
        <v>48</v>
      </c>
      <c r="C41" s="77"/>
      <c r="D41" s="77"/>
      <c r="E41" s="20"/>
      <c r="F41" s="77"/>
      <c r="G41" s="77"/>
      <c r="H41" s="20"/>
      <c r="I41" s="20"/>
      <c r="J41" s="20"/>
      <c r="K41" s="20"/>
    </row>
    <row r="42" spans="1:11" ht="12.75">
      <c r="A42" s="16" t="s">
        <v>45</v>
      </c>
      <c r="B42" s="77">
        <f>'Balance Sheet'!I50</f>
        <v>10000</v>
      </c>
      <c r="C42" s="77"/>
      <c r="D42" s="77">
        <f>C42-B42</f>
        <v>-10000</v>
      </c>
      <c r="E42" s="20"/>
      <c r="F42" s="77"/>
      <c r="G42" s="77"/>
      <c r="H42" s="20"/>
      <c r="I42" s="20"/>
      <c r="J42" s="285">
        <f>SUM(D42:I42)</f>
        <v>-10000</v>
      </c>
      <c r="K42" s="20"/>
    </row>
    <row r="43" spans="1:11" ht="12.75">
      <c r="A43" s="16"/>
      <c r="B43" s="77"/>
      <c r="C43" s="77"/>
      <c r="D43" s="77"/>
      <c r="E43" s="20"/>
      <c r="F43" s="77"/>
      <c r="G43" s="77"/>
      <c r="H43" s="20"/>
      <c r="I43" s="20"/>
      <c r="J43" s="20"/>
      <c r="K43" s="20"/>
    </row>
    <row r="44" spans="1:11" ht="12.75">
      <c r="A44" s="16"/>
      <c r="B44" s="287">
        <f>SUM(B4:B18)</f>
        <v>27472203.24</v>
      </c>
      <c r="C44" s="287">
        <f>SUM(C4:C18)</f>
        <v>993574</v>
      </c>
      <c r="D44" s="281"/>
      <c r="E44" s="20"/>
      <c r="F44" s="77"/>
      <c r="G44" s="77"/>
      <c r="H44" s="20"/>
      <c r="I44" s="20"/>
      <c r="J44" s="20"/>
      <c r="K44" s="20"/>
    </row>
    <row r="45" spans="2:11" ht="13.5" thickBot="1">
      <c r="B45" s="279">
        <f>SUM(B22:B42)</f>
        <v>27472203.21</v>
      </c>
      <c r="C45" s="279">
        <f>SUM(C22:C42)</f>
        <v>993574</v>
      </c>
      <c r="D45" s="281"/>
      <c r="E45" s="20"/>
      <c r="F45" s="77"/>
      <c r="G45" s="77"/>
      <c r="H45" s="20"/>
      <c r="I45" s="20"/>
      <c r="J45" s="20"/>
      <c r="K45" s="20"/>
    </row>
    <row r="46" spans="2:11" ht="13.5" thickTop="1">
      <c r="B46" s="281"/>
      <c r="C46" s="281"/>
      <c r="D46" s="77"/>
      <c r="E46" s="20"/>
      <c r="F46" s="77"/>
      <c r="G46" s="77"/>
      <c r="H46" s="20"/>
      <c r="I46" s="20"/>
      <c r="J46" s="20"/>
      <c r="K46" s="20"/>
    </row>
    <row r="47" spans="1:11" ht="12.75">
      <c r="A47" s="16" t="s">
        <v>49</v>
      </c>
      <c r="B47" s="281"/>
      <c r="C47" s="281"/>
      <c r="D47" s="281">
        <f>-PL!J16</f>
        <v>-3234675.62</v>
      </c>
      <c r="E47" s="20" t="s">
        <v>48</v>
      </c>
      <c r="F47" s="77"/>
      <c r="G47" s="77">
        <f>-D47</f>
        <v>3234675.62</v>
      </c>
      <c r="H47" s="20"/>
      <c r="I47" s="20"/>
      <c r="J47" s="20">
        <f>SUM(D47:I47)</f>
        <v>0</v>
      </c>
      <c r="K47" s="20"/>
    </row>
    <row r="48" spans="1:11" ht="12.75">
      <c r="A48" s="16"/>
      <c r="B48" s="281"/>
      <c r="C48" s="281"/>
      <c r="D48" s="281">
        <f>PL!J17</f>
        <v>0</v>
      </c>
      <c r="E48" s="20"/>
      <c r="F48" s="77"/>
      <c r="G48" s="77"/>
      <c r="H48" s="20"/>
      <c r="I48" s="20"/>
      <c r="J48" s="20"/>
      <c r="K48" s="20"/>
    </row>
    <row r="49" spans="1:11" ht="12.75">
      <c r="A49" s="16" t="s">
        <v>50</v>
      </c>
      <c r="B49" s="281"/>
      <c r="C49" s="281"/>
      <c r="D49" s="281">
        <f>-PL!J18</f>
        <v>1711073.42</v>
      </c>
      <c r="E49" s="20"/>
      <c r="F49" s="77"/>
      <c r="G49" s="77">
        <f>-D49</f>
        <v>-1711073.42</v>
      </c>
      <c r="H49" s="20"/>
      <c r="I49" s="20"/>
      <c r="J49" s="20">
        <f>SUM(D49:I49)</f>
        <v>0</v>
      </c>
      <c r="K49" s="20"/>
    </row>
    <row r="50" spans="1:11" ht="12.75">
      <c r="A50" s="16"/>
      <c r="B50" s="281"/>
      <c r="C50" s="281"/>
      <c r="D50" s="281" t="s">
        <v>48</v>
      </c>
      <c r="E50" s="20"/>
      <c r="F50" s="77"/>
      <c r="G50" s="77"/>
      <c r="H50" s="20"/>
      <c r="I50" s="20"/>
      <c r="J50" s="20"/>
      <c r="K50" s="20"/>
    </row>
    <row r="51" spans="1:11" ht="12.75">
      <c r="A51" s="16" t="s">
        <v>51</v>
      </c>
      <c r="B51" s="281"/>
      <c r="C51" s="281"/>
      <c r="D51" s="281" t="s">
        <v>48</v>
      </c>
      <c r="E51" s="20"/>
      <c r="F51" s="77"/>
      <c r="G51" s="77"/>
      <c r="H51" s="20"/>
      <c r="I51" s="20"/>
      <c r="J51" s="20"/>
      <c r="K51" s="20"/>
    </row>
    <row r="52" spans="1:11" ht="12.75">
      <c r="A52" s="16"/>
      <c r="B52" s="281"/>
      <c r="C52" s="281"/>
      <c r="D52" s="281" t="s">
        <v>48</v>
      </c>
      <c r="E52" s="20"/>
      <c r="F52" s="77"/>
      <c r="G52" s="77"/>
      <c r="H52" s="20"/>
      <c r="I52" s="20"/>
      <c r="J52" s="20"/>
      <c r="K52" s="20"/>
    </row>
    <row r="53" spans="1:11" ht="12.75">
      <c r="A53" s="16" t="s">
        <v>263</v>
      </c>
      <c r="B53" s="281"/>
      <c r="C53" s="281"/>
      <c r="D53" s="281" t="e">
        <f>-PL!#REF!</f>
        <v>#REF!</v>
      </c>
      <c r="E53" s="20"/>
      <c r="F53" s="77"/>
      <c r="G53" s="77" t="e">
        <f>-D53</f>
        <v>#REF!</v>
      </c>
      <c r="H53" s="20"/>
      <c r="I53" s="20"/>
      <c r="J53" s="20"/>
      <c r="K53" s="20"/>
    </row>
    <row r="54" spans="1:11" ht="12.75">
      <c r="A54" s="16"/>
      <c r="B54" s="281"/>
      <c r="C54" s="281"/>
      <c r="D54" s="281"/>
      <c r="E54" s="20"/>
      <c r="F54" s="77"/>
      <c r="G54" s="77"/>
      <c r="H54" s="20"/>
      <c r="I54" s="20"/>
      <c r="J54" s="20"/>
      <c r="K54" s="20"/>
    </row>
    <row r="55" spans="1:11" ht="12.75">
      <c r="A55" s="16" t="s">
        <v>52</v>
      </c>
      <c r="B55" s="281"/>
      <c r="C55" s="281"/>
      <c r="D55" s="281">
        <f>-PL!J22</f>
        <v>645444.8200000001</v>
      </c>
      <c r="E55" s="20"/>
      <c r="F55" s="77"/>
      <c r="G55" s="77">
        <f>-D55</f>
        <v>-645444.8200000001</v>
      </c>
      <c r="H55" s="20"/>
      <c r="I55" s="20"/>
      <c r="J55" s="20">
        <f>SUM(D55:I55)</f>
        <v>0</v>
      </c>
      <c r="K55" s="20"/>
    </row>
    <row r="56" spans="1:11" ht="12.75">
      <c r="A56" s="16"/>
      <c r="B56" s="281"/>
      <c r="C56" s="281"/>
      <c r="D56" s="281" t="s">
        <v>48</v>
      </c>
      <c r="E56" s="20"/>
      <c r="F56" s="77"/>
      <c r="G56" s="77"/>
      <c r="H56" s="20"/>
      <c r="I56" s="20"/>
      <c r="J56" s="20"/>
      <c r="K56" s="20"/>
    </row>
    <row r="57" spans="1:11" ht="12.75">
      <c r="A57" s="16" t="s">
        <v>53</v>
      </c>
      <c r="B57" s="281"/>
      <c r="C57" s="281"/>
      <c r="D57" s="281" t="s">
        <v>48</v>
      </c>
      <c r="E57" s="20"/>
      <c r="F57" s="77"/>
      <c r="G57" s="77"/>
      <c r="H57" s="20"/>
      <c r="I57" s="20"/>
      <c r="J57" s="20"/>
      <c r="K57" s="20"/>
    </row>
    <row r="58" spans="1:11" ht="12.75">
      <c r="A58" s="16" t="s">
        <v>54</v>
      </c>
      <c r="B58" s="281"/>
      <c r="C58" s="281"/>
      <c r="D58" s="281" t="s">
        <v>48</v>
      </c>
      <c r="E58" s="20"/>
      <c r="F58" s="77"/>
      <c r="G58" s="77"/>
      <c r="H58" s="20"/>
      <c r="I58" s="20"/>
      <c r="J58" s="20"/>
      <c r="K58" s="20"/>
    </row>
    <row r="59" spans="1:11" ht="12.75">
      <c r="A59" s="24"/>
      <c r="B59" s="281"/>
      <c r="C59" s="281"/>
      <c r="D59" s="281">
        <f>PL!J26</f>
        <v>0</v>
      </c>
      <c r="E59" s="20"/>
      <c r="F59" s="77"/>
      <c r="G59" s="77"/>
      <c r="H59" s="20"/>
      <c r="I59" s="20"/>
      <c r="J59" s="20"/>
      <c r="K59" s="20"/>
    </row>
    <row r="60" spans="1:11" ht="12.75">
      <c r="A60" s="16" t="s">
        <v>55</v>
      </c>
      <c r="B60" s="281"/>
      <c r="C60" s="281"/>
      <c r="D60" s="281" t="s">
        <v>48</v>
      </c>
      <c r="E60" s="20"/>
      <c r="F60" s="77"/>
      <c r="G60" s="77"/>
      <c r="H60" s="20"/>
      <c r="I60" s="20"/>
      <c r="J60" s="20"/>
      <c r="K60" s="20"/>
    </row>
    <row r="61" spans="1:11" ht="12.75">
      <c r="A61" s="16"/>
      <c r="B61" s="281"/>
      <c r="C61" s="281"/>
      <c r="D61" s="281">
        <f>PL!J28</f>
        <v>0</v>
      </c>
      <c r="E61" s="20"/>
      <c r="F61" s="77"/>
      <c r="G61" s="77"/>
      <c r="H61" s="20"/>
      <c r="I61" s="20"/>
      <c r="J61" s="20"/>
      <c r="K61" s="20"/>
    </row>
    <row r="62" spans="1:11" ht="12.75">
      <c r="A62" s="16" t="s">
        <v>56</v>
      </c>
      <c r="B62" s="281"/>
      <c r="C62" s="281"/>
      <c r="D62" s="281">
        <f>-PL!J29</f>
        <v>35984.33</v>
      </c>
      <c r="E62" s="20"/>
      <c r="F62" s="77">
        <f>-D62</f>
        <v>-35984.33</v>
      </c>
      <c r="G62" s="77"/>
      <c r="H62" s="20"/>
      <c r="I62" s="20"/>
      <c r="J62" s="20">
        <f>SUM(D62:I62)</f>
        <v>0</v>
      </c>
      <c r="K62" s="20">
        <f>J62</f>
        <v>0</v>
      </c>
    </row>
    <row r="63" spans="1:11" ht="12.75">
      <c r="A63" s="16"/>
      <c r="B63" s="281"/>
      <c r="C63" s="281"/>
      <c r="D63" s="281" t="s">
        <v>48</v>
      </c>
      <c r="E63" s="20"/>
      <c r="F63" s="77"/>
      <c r="G63" s="77"/>
      <c r="H63" s="20"/>
      <c r="I63" s="20"/>
      <c r="J63" s="20"/>
      <c r="K63" s="20"/>
    </row>
    <row r="64" spans="1:11" ht="12.75">
      <c r="A64" s="16" t="s">
        <v>77</v>
      </c>
      <c r="B64" s="281"/>
      <c r="C64" s="281"/>
      <c r="D64" s="281">
        <f>-PL!J31</f>
        <v>29123.18</v>
      </c>
      <c r="E64" s="20"/>
      <c r="F64" s="77">
        <f>-D64</f>
        <v>-29123.18</v>
      </c>
      <c r="G64" s="77"/>
      <c r="H64" s="20"/>
      <c r="I64" s="20"/>
      <c r="J64" s="20">
        <f>SUM(D64:I64)</f>
        <v>0</v>
      </c>
      <c r="K64" s="20"/>
    </row>
    <row r="65" spans="1:11" ht="12.75">
      <c r="A65" s="16"/>
      <c r="B65" s="281"/>
      <c r="C65" s="281"/>
      <c r="D65" s="281" t="s">
        <v>48</v>
      </c>
      <c r="E65" s="20"/>
      <c r="F65" s="77"/>
      <c r="G65" s="77"/>
      <c r="H65" s="20"/>
      <c r="I65" s="20"/>
      <c r="J65" s="20"/>
      <c r="K65" s="20"/>
    </row>
    <row r="66" spans="1:11" ht="12.75">
      <c r="A66" s="16" t="s">
        <v>57</v>
      </c>
      <c r="B66" s="281"/>
      <c r="C66" s="281"/>
      <c r="D66" s="281">
        <f>-PL!J33</f>
        <v>-90671.32</v>
      </c>
      <c r="E66" s="20"/>
      <c r="F66" s="77"/>
      <c r="G66" s="77"/>
      <c r="H66" s="20"/>
      <c r="I66" s="20"/>
      <c r="J66" s="282">
        <f>SUM(D66:I66)</f>
        <v>-90671.32</v>
      </c>
      <c r="K66" s="20">
        <v>0</v>
      </c>
    </row>
    <row r="67" spans="1:11" ht="12.75">
      <c r="A67" s="25"/>
      <c r="B67" s="281"/>
      <c r="C67" s="281"/>
      <c r="D67" s="281" t="s">
        <v>48</v>
      </c>
      <c r="E67" s="20"/>
      <c r="F67" s="77"/>
      <c r="G67" s="77"/>
      <c r="H67" s="20"/>
      <c r="I67" s="20"/>
      <c r="J67" s="20"/>
      <c r="K67" s="20"/>
    </row>
    <row r="68" spans="1:11" ht="12.75">
      <c r="A68" s="27" t="s">
        <v>58</v>
      </c>
      <c r="B68" s="281"/>
      <c r="C68" s="281"/>
      <c r="D68" s="281" t="s">
        <v>48</v>
      </c>
      <c r="E68" s="20"/>
      <c r="F68" s="77"/>
      <c r="G68" s="77"/>
      <c r="H68" s="20"/>
      <c r="I68" s="20"/>
      <c r="J68" s="20"/>
      <c r="K68" s="20"/>
    </row>
    <row r="69" spans="1:11" ht="12.75">
      <c r="A69" s="16"/>
      <c r="B69" s="281"/>
      <c r="C69" s="281"/>
      <c r="D69" s="281" t="s">
        <v>48</v>
      </c>
      <c r="E69" s="20"/>
      <c r="F69" s="77"/>
      <c r="G69" s="77"/>
      <c r="H69" s="20"/>
      <c r="I69" s="20"/>
      <c r="J69" s="20"/>
      <c r="K69" s="20"/>
    </row>
    <row r="70" spans="1:11" ht="12.75">
      <c r="A70" s="27" t="s">
        <v>59</v>
      </c>
      <c r="B70" s="281"/>
      <c r="C70" s="281"/>
      <c r="D70" s="281">
        <f>-PL!J37</f>
        <v>93816.6292</v>
      </c>
      <c r="E70" s="20"/>
      <c r="F70" s="77">
        <v>0</v>
      </c>
      <c r="G70" s="77"/>
      <c r="H70" s="20">
        <f>-D70</f>
        <v>-93816.6292</v>
      </c>
      <c r="I70" s="20"/>
      <c r="J70" s="20">
        <f>SUM(D70:I70)</f>
        <v>0</v>
      </c>
      <c r="K70" s="20"/>
    </row>
    <row r="71" spans="1:11" ht="12.75">
      <c r="A71" s="27"/>
      <c r="B71" s="281"/>
      <c r="C71" s="281"/>
      <c r="D71" s="281" t="s">
        <v>48</v>
      </c>
      <c r="E71" s="20"/>
      <c r="F71" s="77"/>
      <c r="G71" s="77"/>
      <c r="H71" s="20"/>
      <c r="I71" s="20"/>
      <c r="J71" s="20"/>
      <c r="K71" s="20"/>
    </row>
    <row r="72" spans="1:11" ht="12.75">
      <c r="A72" s="27" t="s">
        <v>60</v>
      </c>
      <c r="B72" s="281"/>
      <c r="C72" s="281"/>
      <c r="D72" s="281" t="s">
        <v>48</v>
      </c>
      <c r="E72" s="20"/>
      <c r="F72" s="77"/>
      <c r="G72" s="77"/>
      <c r="H72" s="20"/>
      <c r="I72" s="20"/>
      <c r="J72" s="20"/>
      <c r="K72" s="20"/>
    </row>
    <row r="73" spans="1:11" ht="12.75">
      <c r="A73" s="27"/>
      <c r="B73" s="281"/>
      <c r="C73" s="281"/>
      <c r="D73" s="281" t="s">
        <v>48</v>
      </c>
      <c r="E73" s="20"/>
      <c r="F73" s="77"/>
      <c r="G73" s="77"/>
      <c r="H73" s="20"/>
      <c r="I73" s="20"/>
      <c r="J73" s="20"/>
      <c r="K73" s="20"/>
    </row>
    <row r="74" spans="1:11" ht="12.75">
      <c r="A74" s="27" t="s">
        <v>61</v>
      </c>
      <c r="B74" s="281"/>
      <c r="C74" s="281"/>
      <c r="D74" s="281" t="e">
        <f>-PL!#REF!</f>
        <v>#REF!</v>
      </c>
      <c r="E74" s="20"/>
      <c r="F74" s="77"/>
      <c r="G74" s="77"/>
      <c r="H74" s="20"/>
      <c r="I74" s="20"/>
      <c r="J74" s="282" t="e">
        <f>SUM(D74:I74)</f>
        <v>#REF!</v>
      </c>
      <c r="K74" s="20"/>
    </row>
    <row r="75" spans="1:11" ht="12.75">
      <c r="A75" s="27"/>
      <c r="B75" s="281"/>
      <c r="C75" s="281"/>
      <c r="D75" s="281"/>
      <c r="E75" s="20" t="s">
        <v>48</v>
      </c>
      <c r="F75" s="77"/>
      <c r="G75" s="77"/>
      <c r="H75" s="20"/>
      <c r="I75" s="20"/>
      <c r="J75" s="20"/>
      <c r="K75" s="20"/>
    </row>
    <row r="76" spans="1:11" ht="12.75">
      <c r="A76" s="27" t="s">
        <v>97</v>
      </c>
      <c r="B76" s="281"/>
      <c r="C76" s="281"/>
      <c r="D76" s="281"/>
      <c r="E76" s="20"/>
      <c r="F76" s="77"/>
      <c r="G76" s="77"/>
      <c r="H76" s="20"/>
      <c r="I76" s="20"/>
      <c r="J76" s="20"/>
      <c r="K76" s="20"/>
    </row>
    <row r="77" spans="1:11" ht="12.75">
      <c r="A77" s="27"/>
      <c r="B77" s="281"/>
      <c r="C77" s="281"/>
      <c r="D77" s="281"/>
      <c r="E77" s="20"/>
      <c r="F77" s="77"/>
      <c r="G77" s="77"/>
      <c r="H77" s="20"/>
      <c r="I77" s="20"/>
      <c r="J77" s="20"/>
      <c r="K77" s="20"/>
    </row>
    <row r="78" spans="1:11" ht="12.75">
      <c r="A78" s="27" t="s">
        <v>101</v>
      </c>
      <c r="B78" s="281"/>
      <c r="C78" s="281"/>
      <c r="D78" s="281"/>
      <c r="E78" s="20">
        <f>D102</f>
        <v>-3987610.7099999995</v>
      </c>
      <c r="F78" s="77">
        <v>0</v>
      </c>
      <c r="G78" s="77"/>
      <c r="H78" s="20"/>
      <c r="I78" s="20"/>
      <c r="J78" s="20">
        <f>SUM(D78:I78)</f>
        <v>-3987610.7099999995</v>
      </c>
      <c r="K78" s="20">
        <f>J78</f>
        <v>-3987610.7099999995</v>
      </c>
    </row>
    <row r="79" spans="1:11" ht="12.75">
      <c r="A79" s="27"/>
      <c r="B79" s="281"/>
      <c r="C79" s="281"/>
      <c r="D79" s="281"/>
      <c r="E79" s="20"/>
      <c r="F79" s="77"/>
      <c r="G79" s="77"/>
      <c r="H79" s="20"/>
      <c r="I79" s="20"/>
      <c r="J79" s="20"/>
      <c r="K79" s="20"/>
    </row>
    <row r="80" spans="1:11" ht="12.75">
      <c r="A80" s="27"/>
      <c r="B80" s="281"/>
      <c r="C80" s="281"/>
      <c r="D80" s="281"/>
      <c r="E80" s="20"/>
      <c r="F80" s="77"/>
      <c r="G80" s="77"/>
      <c r="H80" s="20"/>
      <c r="I80" s="20"/>
      <c r="J80" s="20"/>
      <c r="K80" s="20"/>
    </row>
    <row r="81" spans="1:11" ht="12.75">
      <c r="A81" s="27"/>
      <c r="B81" s="281"/>
      <c r="C81" s="281"/>
      <c r="D81" s="281"/>
      <c r="E81" s="20"/>
      <c r="F81" s="77"/>
      <c r="G81" s="77"/>
      <c r="H81" s="20"/>
      <c r="I81" s="20"/>
      <c r="J81" s="20"/>
      <c r="K81" s="20"/>
    </row>
    <row r="82" spans="1:11" ht="12.75">
      <c r="A82" s="27"/>
      <c r="B82" s="281"/>
      <c r="C82" s="281"/>
      <c r="D82" s="281"/>
      <c r="E82" s="20"/>
      <c r="F82" s="77"/>
      <c r="G82" s="77"/>
      <c r="H82" s="20"/>
      <c r="I82" s="20"/>
      <c r="J82" s="20"/>
      <c r="K82" s="20"/>
    </row>
    <row r="83" spans="1:11" ht="12.75">
      <c r="A83" s="27"/>
      <c r="B83" s="281"/>
      <c r="C83" s="281"/>
      <c r="D83" s="281"/>
      <c r="E83" s="20"/>
      <c r="F83" s="77"/>
      <c r="G83" s="77"/>
      <c r="H83" s="20"/>
      <c r="I83" s="20"/>
      <c r="J83" s="20"/>
      <c r="K83" s="20"/>
    </row>
    <row r="84" spans="1:11" ht="12.75">
      <c r="A84" s="27"/>
      <c r="B84" s="281"/>
      <c r="C84" s="281"/>
      <c r="D84" s="281" t="s">
        <v>48</v>
      </c>
      <c r="E84" s="20"/>
      <c r="F84" s="77"/>
      <c r="G84" s="77"/>
      <c r="H84" s="20"/>
      <c r="I84" s="20"/>
      <c r="J84" s="20"/>
      <c r="K84" s="20"/>
    </row>
    <row r="85" spans="1:11" ht="13.5" thickBot="1">
      <c r="A85" s="27" t="s">
        <v>48</v>
      </c>
      <c r="B85" s="281"/>
      <c r="C85" s="281"/>
      <c r="D85" s="279" t="e">
        <f>SUM(D4:D84)</f>
        <v>#REF!</v>
      </c>
      <c r="E85" s="279">
        <f aca="true" t="shared" si="2" ref="E85:J85">SUM(E4:E84)</f>
        <v>-3987611.43</v>
      </c>
      <c r="F85" s="279">
        <f t="shared" si="2"/>
        <v>0</v>
      </c>
      <c r="G85" s="279" t="e">
        <f t="shared" si="2"/>
        <v>#REF!</v>
      </c>
      <c r="H85" s="279">
        <f t="shared" si="2"/>
        <v>0</v>
      </c>
      <c r="I85" s="279">
        <f t="shared" si="2"/>
        <v>0</v>
      </c>
      <c r="J85" s="279" t="e">
        <f t="shared" si="2"/>
        <v>#REF!</v>
      </c>
      <c r="K85" s="288" t="e">
        <f>SUM(K4:K84)</f>
        <v>#REF!</v>
      </c>
    </row>
    <row r="86" spans="1:11" ht="13.5" thickTop="1">
      <c r="A86" s="27" t="s">
        <v>48</v>
      </c>
      <c r="B86" s="281"/>
      <c r="C86" s="281"/>
      <c r="D86" s="281" t="s">
        <v>48</v>
      </c>
      <c r="E86" s="20"/>
      <c r="F86" s="77"/>
      <c r="G86" s="77"/>
      <c r="H86" s="20"/>
      <c r="I86" s="20"/>
      <c r="J86" s="20"/>
      <c r="K86" s="20"/>
    </row>
    <row r="87" spans="2:11" ht="12.75">
      <c r="B87" s="281"/>
      <c r="C87" s="281"/>
      <c r="D87" s="281"/>
      <c r="E87" s="20"/>
      <c r="F87" s="77"/>
      <c r="G87" s="77"/>
      <c r="H87" s="20"/>
      <c r="I87" s="20"/>
      <c r="J87" s="20"/>
      <c r="K87" s="20"/>
    </row>
    <row r="88" spans="2:11" ht="12.75">
      <c r="B88" s="77"/>
      <c r="C88" s="77"/>
      <c r="D88" s="77"/>
      <c r="E88" s="20" t="s">
        <v>48</v>
      </c>
      <c r="F88" s="77"/>
      <c r="G88" s="77"/>
      <c r="H88" s="20"/>
      <c r="I88" s="20"/>
      <c r="J88" s="20"/>
      <c r="K88" s="20"/>
    </row>
    <row r="89" spans="1:11" ht="12.75">
      <c r="A89" t="s">
        <v>86</v>
      </c>
      <c r="B89" s="77"/>
      <c r="C89" s="77"/>
      <c r="D89" s="77"/>
      <c r="E89" s="20"/>
      <c r="F89" s="77"/>
      <c r="G89" s="77"/>
      <c r="H89" s="20"/>
      <c r="I89" s="20"/>
      <c r="J89" s="20"/>
      <c r="K89" s="20"/>
    </row>
    <row r="90" spans="1:11" ht="12.75">
      <c r="A90" t="s">
        <v>85</v>
      </c>
      <c r="B90" s="77"/>
      <c r="C90" s="77"/>
      <c r="D90" s="77"/>
      <c r="E90" s="20"/>
      <c r="F90" s="77"/>
      <c r="G90" s="77"/>
      <c r="H90" s="20"/>
      <c r="I90" s="20"/>
      <c r="J90" s="20"/>
      <c r="K90" s="20"/>
    </row>
    <row r="91" spans="2:11" ht="12.75">
      <c r="B91" s="289" t="s">
        <v>75</v>
      </c>
      <c r="C91" s="289" t="s">
        <v>40</v>
      </c>
      <c r="D91" s="77" t="s">
        <v>66</v>
      </c>
      <c r="E91" s="20"/>
      <c r="F91" s="77"/>
      <c r="G91" s="77"/>
      <c r="H91" s="20"/>
      <c r="I91" s="20"/>
      <c r="J91" s="20"/>
      <c r="K91" s="20"/>
    </row>
    <row r="92" spans="1:11" ht="12.75">
      <c r="A92" t="s">
        <v>94</v>
      </c>
      <c r="B92" s="10">
        <f>-134434.85+23296.13-881.16+45248.99+3206.36+750000+3100000+107416.45</f>
        <v>3893851.92</v>
      </c>
      <c r="C92" s="10">
        <f>85090.23+8669.28</f>
        <v>93759.51</v>
      </c>
      <c r="D92" s="10">
        <f>B92+C92</f>
        <v>3987611.4299999997</v>
      </c>
      <c r="E92" s="20" t="s">
        <v>99</v>
      </c>
      <c r="F92" s="77"/>
      <c r="G92" s="77"/>
      <c r="H92" s="20"/>
      <c r="I92" s="20"/>
      <c r="J92" s="20"/>
      <c r="K92" s="20"/>
    </row>
    <row r="93" spans="1:11" ht="12.75">
      <c r="A93" t="s">
        <v>87</v>
      </c>
      <c r="B93" s="10">
        <f>777985.43-373302.5</f>
        <v>404682.93000000005</v>
      </c>
      <c r="C93" s="10">
        <f>327522.22-145600</f>
        <v>181922.21999999997</v>
      </c>
      <c r="D93" s="10">
        <f aca="true" t="shared" si="3" ref="D93:D101">B93+C93</f>
        <v>586605.15</v>
      </c>
      <c r="E93" s="20" t="s">
        <v>99</v>
      </c>
      <c r="F93" s="77"/>
      <c r="G93" s="77"/>
      <c r="H93" s="20"/>
      <c r="I93" s="20"/>
      <c r="J93" s="20"/>
      <c r="K93" s="20"/>
    </row>
    <row r="94" spans="1:11" ht="12.75">
      <c r="A94" t="s">
        <v>88</v>
      </c>
      <c r="B94" s="10">
        <f>70076+8187.5+2164370.15</f>
        <v>2242633.65</v>
      </c>
      <c r="C94" s="10">
        <v>500000</v>
      </c>
      <c r="D94" s="10">
        <f t="shared" si="3"/>
        <v>2742633.65</v>
      </c>
      <c r="E94" s="20" t="s">
        <v>99</v>
      </c>
      <c r="F94" s="77"/>
      <c r="G94" s="77"/>
      <c r="H94" s="20"/>
      <c r="I94" s="20"/>
      <c r="J94" s="20"/>
      <c r="K94" s="20"/>
    </row>
    <row r="95" spans="1:11" ht="12.75">
      <c r="A95" t="s">
        <v>89</v>
      </c>
      <c r="B95" s="10">
        <v>1303691.83</v>
      </c>
      <c r="C95" s="10">
        <v>868</v>
      </c>
      <c r="D95" s="10">
        <f>B95+C95</f>
        <v>1304559.83</v>
      </c>
      <c r="E95" s="20" t="s">
        <v>99</v>
      </c>
      <c r="F95" s="77"/>
      <c r="G95" s="77"/>
      <c r="H95" s="20"/>
      <c r="I95" s="20"/>
      <c r="J95" s="20"/>
      <c r="K95" s="20"/>
    </row>
    <row r="96" spans="1:11" ht="12.75">
      <c r="A96" t="s">
        <v>95</v>
      </c>
      <c r="B96" s="10">
        <f>-558666.21+201576.85</f>
        <v>-357089.36</v>
      </c>
      <c r="D96" s="10">
        <f t="shared" si="3"/>
        <v>-357089.36</v>
      </c>
      <c r="E96" s="20" t="s">
        <v>99</v>
      </c>
      <c r="F96" s="77"/>
      <c r="G96" s="77"/>
      <c r="H96" s="20"/>
      <c r="I96" s="20"/>
      <c r="J96" s="20"/>
      <c r="K96" s="20"/>
    </row>
    <row r="97" spans="1:11" ht="12.75">
      <c r="A97" t="s">
        <v>90</v>
      </c>
      <c r="B97" s="17">
        <f>-3130000-10523-25761.87+41000-650000-500000-10000</f>
        <v>-4285284.87</v>
      </c>
      <c r="C97" s="17">
        <v>-3200</v>
      </c>
      <c r="D97" s="17">
        <f t="shared" si="3"/>
        <v>-4288484.87</v>
      </c>
      <c r="E97" s="20" t="s">
        <v>99</v>
      </c>
      <c r="F97" s="77"/>
      <c r="G97" s="77"/>
      <c r="H97" s="20"/>
      <c r="I97" s="20"/>
      <c r="J97" s="20"/>
      <c r="K97" s="20"/>
    </row>
    <row r="98" spans="1:11" ht="12.75">
      <c r="A98" t="s">
        <v>91</v>
      </c>
      <c r="B98" s="10">
        <f>SUM(B92:B97)</f>
        <v>3202486.0999999996</v>
      </c>
      <c r="C98" s="10">
        <f>SUM(C92:C97)</f>
        <v>773349.73</v>
      </c>
      <c r="D98" s="10">
        <f>SUM(D92:D97)</f>
        <v>3975835.83</v>
      </c>
      <c r="E98" s="20"/>
      <c r="F98" s="77"/>
      <c r="G98" s="77"/>
      <c r="H98" s="20"/>
      <c r="I98" s="20"/>
      <c r="J98" s="20"/>
      <c r="K98" s="20"/>
    </row>
    <row r="99" spans="1:11" ht="12.75">
      <c r="A99" t="s">
        <v>92</v>
      </c>
      <c r="B99" s="10">
        <v>-3223226</v>
      </c>
      <c r="C99" s="10">
        <v>-2500000</v>
      </c>
      <c r="D99" s="35">
        <f t="shared" si="3"/>
        <v>-5723226</v>
      </c>
      <c r="E99" s="20" t="s">
        <v>99</v>
      </c>
      <c r="F99" s="77"/>
      <c r="G99" s="77"/>
      <c r="H99" s="20"/>
      <c r="I99" s="20"/>
      <c r="J99" s="20"/>
      <c r="K99" s="20"/>
    </row>
    <row r="100" spans="1:11" ht="12.75">
      <c r="A100" t="s">
        <v>96</v>
      </c>
      <c r="B100" s="10">
        <f>-B92</f>
        <v>-3893851.92</v>
      </c>
      <c r="C100" s="10">
        <f>-C92</f>
        <v>-93759.51</v>
      </c>
      <c r="D100" s="35">
        <f t="shared" si="3"/>
        <v>-3987611.4299999997</v>
      </c>
      <c r="E100" s="20" t="s">
        <v>99</v>
      </c>
      <c r="F100" s="77"/>
      <c r="G100" s="77"/>
      <c r="H100" s="20"/>
      <c r="I100" s="20"/>
      <c r="J100" s="20"/>
      <c r="K100" s="20"/>
    </row>
    <row r="101" spans="1:11" ht="12.75">
      <c r="A101" t="s">
        <v>14</v>
      </c>
      <c r="B101" s="10">
        <f>20740.54</f>
        <v>20740.54</v>
      </c>
      <c r="C101" s="10">
        <f>1726650.35</f>
        <v>1726650.35</v>
      </c>
      <c r="D101" s="17">
        <f t="shared" si="3"/>
        <v>1747390.8900000001</v>
      </c>
      <c r="E101" s="20" t="s">
        <v>99</v>
      </c>
      <c r="F101" s="77"/>
      <c r="G101" s="77"/>
      <c r="H101" s="20"/>
      <c r="I101" s="20"/>
      <c r="J101" s="20"/>
      <c r="K101" s="20"/>
    </row>
    <row r="102" spans="1:11" ht="13.5" thickBot="1">
      <c r="A102" t="s">
        <v>93</v>
      </c>
      <c r="B102" s="15">
        <f>SUM(B98:B101)</f>
        <v>-3893851.2800000003</v>
      </c>
      <c r="C102" s="15">
        <f>SUM(C98:C101)</f>
        <v>-93759.42999999993</v>
      </c>
      <c r="D102" s="15">
        <f>SUM(D98:D101)</f>
        <v>-3987610.7099999995</v>
      </c>
      <c r="E102" s="20"/>
      <c r="F102" s="77"/>
      <c r="G102" s="77"/>
      <c r="H102" s="20"/>
      <c r="I102" s="20"/>
      <c r="J102" s="20"/>
      <c r="K102" s="20"/>
    </row>
    <row r="103" spans="2:11" ht="13.5" thickTop="1">
      <c r="B103" s="77"/>
      <c r="C103" s="77"/>
      <c r="D103" s="77">
        <f>B102+C102-D102</f>
        <v>0</v>
      </c>
      <c r="E103" s="20"/>
      <c r="F103" s="77"/>
      <c r="G103" s="77"/>
      <c r="H103" s="20"/>
      <c r="I103" s="20"/>
      <c r="J103" s="20"/>
      <c r="K103" s="20"/>
    </row>
  </sheetData>
  <sheetProtection/>
  <printOptions/>
  <pageMargins left="0.25" right="0.34" top="1" bottom="1" header="0.5" footer="0.5"/>
  <pageSetup fitToHeight="1" fitToWidth="1" horizontalDpi="600" verticalDpi="600" orientation="portrait" paperSize="9" scale="46" r:id="rId1"/>
  <headerFooter alignWithMargins="0">
    <oddFooter>&amp;C&amp;D&amp;T</oddFooter>
  </headerFooter>
</worksheet>
</file>

<file path=xl/worksheets/sheet13.xml><?xml version="1.0" encoding="utf-8"?>
<worksheet xmlns="http://schemas.openxmlformats.org/spreadsheetml/2006/main" xmlns:r="http://schemas.openxmlformats.org/officeDocument/2006/relationships">
  <dimension ref="A1:K699"/>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2" sqref="C12"/>
    </sheetView>
  </sheetViews>
  <sheetFormatPr defaultColWidth="9.140625" defaultRowHeight="12.75"/>
  <cols>
    <col min="1" max="1" width="30.7109375" style="0" customWidth="1"/>
    <col min="2" max="2" width="10.8515625" style="0" customWidth="1"/>
    <col min="3" max="3" width="17.57421875" style="48" customWidth="1"/>
    <col min="4" max="4" width="19.140625" style="0" customWidth="1"/>
    <col min="5" max="5" width="17.421875" style="0" customWidth="1"/>
    <col min="6" max="6" width="16.421875" style="0" customWidth="1"/>
    <col min="7" max="7" width="5.7109375" style="0" customWidth="1"/>
    <col min="8" max="8" width="14.28125" style="25" customWidth="1"/>
    <col min="9" max="9" width="4.28125" style="0" customWidth="1"/>
    <col min="10" max="10" width="17.28125" style="9" customWidth="1"/>
    <col min="11" max="11" width="12.00390625" style="0" customWidth="1"/>
  </cols>
  <sheetData>
    <row r="1" spans="1:10" s="187" customFormat="1" ht="15.75" customHeight="1">
      <c r="A1" s="186" t="s">
        <v>71</v>
      </c>
      <c r="C1" s="188"/>
      <c r="F1" s="189"/>
      <c r="G1" s="190"/>
      <c r="H1" s="188"/>
      <c r="I1" s="191"/>
      <c r="J1" s="192"/>
    </row>
    <row r="2" spans="1:10" s="187" customFormat="1" ht="15.75" customHeight="1">
      <c r="A2" s="186"/>
      <c r="C2" s="188"/>
      <c r="F2" s="189"/>
      <c r="G2" s="190"/>
      <c r="H2" s="188"/>
      <c r="I2" s="191"/>
      <c r="J2" s="192"/>
    </row>
    <row r="3" spans="1:10" s="187" customFormat="1" ht="15.75" customHeight="1">
      <c r="A3" s="186" t="s">
        <v>417</v>
      </c>
      <c r="C3" s="188"/>
      <c r="F3" s="189"/>
      <c r="G3" s="190"/>
      <c r="H3" s="188"/>
      <c r="I3" s="191"/>
      <c r="J3" s="192"/>
    </row>
    <row r="4" spans="1:10" s="187" customFormat="1" ht="15.75" customHeight="1">
      <c r="A4" s="186"/>
      <c r="C4" s="188"/>
      <c r="F4" s="189"/>
      <c r="G4" s="190"/>
      <c r="H4" s="188"/>
      <c r="I4" s="191"/>
      <c r="J4" s="193"/>
    </row>
    <row r="5" spans="3:10" s="187" customFormat="1" ht="15.75" customHeight="1" thickBot="1">
      <c r="C5" s="188"/>
      <c r="F5" s="189"/>
      <c r="G5" s="190"/>
      <c r="H5" s="188"/>
      <c r="I5" s="191"/>
      <c r="J5" s="192"/>
    </row>
    <row r="6" spans="3:10" s="187" customFormat="1" ht="15.75" customHeight="1">
      <c r="C6" s="194" t="s">
        <v>75</v>
      </c>
      <c r="D6" s="195" t="s">
        <v>40</v>
      </c>
      <c r="E6" s="195" t="s">
        <v>38</v>
      </c>
      <c r="F6" s="195" t="s">
        <v>66</v>
      </c>
      <c r="G6" s="191"/>
      <c r="H6" s="191" t="s">
        <v>322</v>
      </c>
      <c r="I6" s="191"/>
      <c r="J6" s="196" t="s">
        <v>323</v>
      </c>
    </row>
    <row r="7" spans="3:10" s="187" customFormat="1" ht="15.75" customHeight="1">
      <c r="C7" s="197" t="s">
        <v>4</v>
      </c>
      <c r="D7" s="198" t="s">
        <v>4</v>
      </c>
      <c r="E7" s="198" t="s">
        <v>4</v>
      </c>
      <c r="F7" s="199" t="s">
        <v>4</v>
      </c>
      <c r="G7" s="190"/>
      <c r="H7" s="191" t="s">
        <v>4</v>
      </c>
      <c r="I7" s="191"/>
      <c r="J7" s="200" t="s">
        <v>4</v>
      </c>
    </row>
    <row r="8" spans="3:10" s="187" customFormat="1" ht="15.75" customHeight="1">
      <c r="C8" s="197"/>
      <c r="D8" s="198"/>
      <c r="E8" s="198"/>
      <c r="F8" s="199"/>
      <c r="G8" s="190"/>
      <c r="H8" s="197"/>
      <c r="I8" s="191"/>
      <c r="J8" s="200"/>
    </row>
    <row r="9" spans="1:10" s="187" customFormat="1" ht="15.75" customHeight="1">
      <c r="A9" s="201" t="s">
        <v>418</v>
      </c>
      <c r="C9" s="202"/>
      <c r="D9" s="192"/>
      <c r="E9" s="192"/>
      <c r="F9" s="189"/>
      <c r="G9" s="190"/>
      <c r="H9" s="188"/>
      <c r="I9" s="191"/>
      <c r="J9" s="203"/>
    </row>
    <row r="10" spans="1:10" s="187" customFormat="1" ht="15.75" customHeight="1">
      <c r="A10" s="192"/>
      <c r="C10" s="202"/>
      <c r="D10" s="192"/>
      <c r="E10" s="192"/>
      <c r="F10" s="189"/>
      <c r="G10" s="190"/>
      <c r="H10" s="188"/>
      <c r="I10" s="191"/>
      <c r="J10" s="203"/>
    </row>
    <row r="11" spans="1:11" s="187" customFormat="1" ht="15.75" customHeight="1">
      <c r="A11" s="192" t="s">
        <v>324</v>
      </c>
      <c r="C11" s="188"/>
      <c r="D11" s="188"/>
      <c r="E11" s="188"/>
      <c r="F11" s="204"/>
      <c r="G11" s="191"/>
      <c r="H11" s="188"/>
      <c r="I11" s="191"/>
      <c r="J11" s="203"/>
      <c r="K11" s="188"/>
    </row>
    <row r="12" spans="1:11" s="187" customFormat="1" ht="15.75" customHeight="1">
      <c r="A12" s="187" t="s">
        <v>325</v>
      </c>
      <c r="C12" s="188">
        <v>645000</v>
      </c>
      <c r="D12" s="188">
        <v>0</v>
      </c>
      <c r="E12" s="188">
        <v>0</v>
      </c>
      <c r="F12" s="204">
        <f>SUM(C12:E12)</f>
        <v>645000</v>
      </c>
      <c r="G12" s="191"/>
      <c r="H12" s="197"/>
      <c r="I12" s="191"/>
      <c r="J12" s="205">
        <f>SUM(F12:I12)</f>
        <v>645000</v>
      </c>
      <c r="K12" s="188"/>
    </row>
    <row r="13" spans="1:11" s="187" customFormat="1" ht="15.75" customHeight="1">
      <c r="A13" s="187" t="s">
        <v>326</v>
      </c>
      <c r="C13" s="188">
        <v>0</v>
      </c>
      <c r="D13" s="188">
        <v>0</v>
      </c>
      <c r="E13" s="188">
        <v>0</v>
      </c>
      <c r="F13" s="204">
        <f>SUM(C13:E13)</f>
        <v>0</v>
      </c>
      <c r="G13" s="191"/>
      <c r="H13" s="206"/>
      <c r="I13" s="191"/>
      <c r="J13" s="205">
        <f>SUM(F13:I13)</f>
        <v>0</v>
      </c>
      <c r="K13" s="188"/>
    </row>
    <row r="14" spans="1:11" s="187" customFormat="1" ht="15.75" customHeight="1">
      <c r="A14" s="187" t="s">
        <v>327</v>
      </c>
      <c r="C14" s="188">
        <v>0</v>
      </c>
      <c r="D14" s="188">
        <v>0</v>
      </c>
      <c r="E14" s="188">
        <v>0</v>
      </c>
      <c r="F14" s="204">
        <f>SUM(C14:E14)</f>
        <v>0</v>
      </c>
      <c r="G14" s="191"/>
      <c r="H14" s="206"/>
      <c r="I14" s="191"/>
      <c r="J14" s="205">
        <f>SUM(F14:I14)</f>
        <v>0</v>
      </c>
      <c r="K14" s="188"/>
    </row>
    <row r="15" spans="1:11" s="187" customFormat="1" ht="15.75" customHeight="1">
      <c r="A15" s="187" t="s">
        <v>328</v>
      </c>
      <c r="C15" s="188">
        <v>0</v>
      </c>
      <c r="D15" s="188">
        <v>0</v>
      </c>
      <c r="E15" s="188">
        <v>0</v>
      </c>
      <c r="F15" s="207">
        <f>SUM(C15:E15)</f>
        <v>0</v>
      </c>
      <c r="G15" s="191"/>
      <c r="H15" s="206"/>
      <c r="I15" s="191"/>
      <c r="J15" s="205">
        <f>SUM(F15:I15)</f>
        <v>0</v>
      </c>
      <c r="K15" s="188"/>
    </row>
    <row r="16" spans="3:11" s="187" customFormat="1" ht="15.75" customHeight="1">
      <c r="C16" s="208"/>
      <c r="D16" s="208"/>
      <c r="E16" s="208"/>
      <c r="F16" s="209"/>
      <c r="G16" s="191"/>
      <c r="H16" s="206"/>
      <c r="I16" s="191"/>
      <c r="J16" s="210"/>
      <c r="K16" s="188"/>
    </row>
    <row r="17" spans="1:11" s="187" customFormat="1" ht="15.75" customHeight="1">
      <c r="A17" s="187" t="s">
        <v>329</v>
      </c>
      <c r="C17" s="211">
        <f>SUM(C12:C16)</f>
        <v>645000</v>
      </c>
      <c r="D17" s="211">
        <f>SUM(D12:D16)</f>
        <v>0</v>
      </c>
      <c r="E17" s="211">
        <f>SUM(E12:E16)</f>
        <v>0</v>
      </c>
      <c r="F17" s="212">
        <f>SUM(F12:F16)</f>
        <v>645000</v>
      </c>
      <c r="G17" s="191"/>
      <c r="H17" s="206"/>
      <c r="I17" s="191"/>
      <c r="J17" s="213">
        <f>SUM(J12:J16)</f>
        <v>645000</v>
      </c>
      <c r="K17" s="188"/>
    </row>
    <row r="18" spans="3:11" s="187" customFormat="1" ht="15.75" customHeight="1">
      <c r="C18" s="188"/>
      <c r="D18" s="188"/>
      <c r="E18" s="188"/>
      <c r="F18" s="209"/>
      <c r="G18" s="191"/>
      <c r="H18" s="206"/>
      <c r="I18" s="191"/>
      <c r="J18" s="205"/>
      <c r="K18" s="188"/>
    </row>
    <row r="19" spans="1:11" s="187" customFormat="1" ht="15.75" customHeight="1">
      <c r="A19" s="192" t="s">
        <v>330</v>
      </c>
      <c r="C19" s="188"/>
      <c r="D19" s="188"/>
      <c r="E19" s="188"/>
      <c r="F19" s="209"/>
      <c r="G19" s="191"/>
      <c r="H19" s="206"/>
      <c r="I19" s="191"/>
      <c r="J19" s="205"/>
      <c r="K19" s="188"/>
    </row>
    <row r="20" spans="1:11" s="187" customFormat="1" ht="15.75" customHeight="1">
      <c r="A20" s="187" t="s">
        <v>325</v>
      </c>
      <c r="C20" s="188">
        <v>0</v>
      </c>
      <c r="D20" s="188">
        <v>0</v>
      </c>
      <c r="E20" s="188">
        <v>0</v>
      </c>
      <c r="F20" s="204">
        <f>SUM(C20:E20)</f>
        <v>0</v>
      </c>
      <c r="G20" s="191"/>
      <c r="H20" s="206"/>
      <c r="I20" s="191"/>
      <c r="J20" s="205">
        <f>SUM(F20:I20)</f>
        <v>0</v>
      </c>
      <c r="K20" s="188"/>
    </row>
    <row r="21" spans="1:11" s="187" customFormat="1" ht="15.75" customHeight="1">
      <c r="A21" s="187" t="s">
        <v>331</v>
      </c>
      <c r="C21" s="188">
        <v>0</v>
      </c>
      <c r="D21" s="188">
        <v>0</v>
      </c>
      <c r="E21" s="188">
        <v>0</v>
      </c>
      <c r="F21" s="204">
        <f>SUM(C21:E21)</f>
        <v>0</v>
      </c>
      <c r="G21" s="191"/>
      <c r="H21" s="206"/>
      <c r="I21" s="191"/>
      <c r="J21" s="205">
        <f>SUM(F21:I21)</f>
        <v>0</v>
      </c>
      <c r="K21" s="188"/>
    </row>
    <row r="22" spans="1:11" s="187" customFormat="1" ht="15.75" customHeight="1">
      <c r="A22" s="187" t="s">
        <v>332</v>
      </c>
      <c r="C22" s="188">
        <v>0</v>
      </c>
      <c r="D22" s="188">
        <v>0</v>
      </c>
      <c r="E22" s="188">
        <v>0</v>
      </c>
      <c r="F22" s="204">
        <f>SUM(C22:E22)</f>
        <v>0</v>
      </c>
      <c r="G22" s="191"/>
      <c r="H22" s="206"/>
      <c r="I22" s="191"/>
      <c r="J22" s="205">
        <f>SUM(F22:I22)</f>
        <v>0</v>
      </c>
      <c r="K22" s="188"/>
    </row>
    <row r="23" spans="1:11" s="187" customFormat="1" ht="15.75" customHeight="1">
      <c r="A23" s="187" t="s">
        <v>333</v>
      </c>
      <c r="C23" s="188">
        <v>0</v>
      </c>
      <c r="D23" s="188">
        <v>0</v>
      </c>
      <c r="E23" s="188">
        <v>0</v>
      </c>
      <c r="F23" s="207">
        <f>SUM(C23:E23)</f>
        <v>0</v>
      </c>
      <c r="G23" s="191"/>
      <c r="H23" s="206"/>
      <c r="I23" s="191"/>
      <c r="J23" s="205">
        <f>SUM(F23:I23)</f>
        <v>0</v>
      </c>
      <c r="K23" s="188"/>
    </row>
    <row r="24" spans="1:11" ht="15">
      <c r="A24" s="187"/>
      <c r="C24" s="208"/>
      <c r="D24" s="208"/>
      <c r="E24" s="208"/>
      <c r="F24" s="48"/>
      <c r="G24" s="48"/>
      <c r="I24" s="48"/>
      <c r="J24" s="214"/>
      <c r="K24" s="48"/>
    </row>
    <row r="25" spans="1:11" ht="15.75">
      <c r="A25" s="187" t="s">
        <v>329</v>
      </c>
      <c r="C25" s="211">
        <f>SUM(C20:C24)</f>
        <v>0</v>
      </c>
      <c r="D25" s="211">
        <f>SUM(D20:D24)</f>
        <v>0</v>
      </c>
      <c r="E25" s="211">
        <f>SUM(E20:E24)</f>
        <v>0</v>
      </c>
      <c r="F25" s="215">
        <f>SUM(F20:F24)</f>
        <v>0</v>
      </c>
      <c r="G25" s="48"/>
      <c r="I25" s="48"/>
      <c r="J25" s="213">
        <f>SUM(J20:J24)</f>
        <v>0</v>
      </c>
      <c r="K25" s="48"/>
    </row>
    <row r="26" spans="1:11" ht="15">
      <c r="A26" s="187"/>
      <c r="C26" s="188"/>
      <c r="D26" s="188"/>
      <c r="E26" s="188"/>
      <c r="F26" s="216"/>
      <c r="G26" s="48"/>
      <c r="I26" s="48"/>
      <c r="J26" s="217"/>
      <c r="K26" s="48"/>
    </row>
    <row r="27" spans="1:11" ht="15.75">
      <c r="A27" s="192" t="s">
        <v>334</v>
      </c>
      <c r="C27" s="188"/>
      <c r="D27" s="188"/>
      <c r="E27" s="188"/>
      <c r="F27" s="216"/>
      <c r="G27" s="48"/>
      <c r="I27" s="48"/>
      <c r="J27" s="217"/>
      <c r="K27" s="48"/>
    </row>
    <row r="28" spans="1:11" ht="16.5" thickBot="1">
      <c r="A28" s="218">
        <v>2004</v>
      </c>
      <c r="C28" s="219">
        <f>C17-C25</f>
        <v>645000</v>
      </c>
      <c r="D28" s="219">
        <f>D17-D25</f>
        <v>0</v>
      </c>
      <c r="E28" s="219">
        <f>E17-E25</f>
        <v>0</v>
      </c>
      <c r="F28" s="220">
        <f>SUM(C28:E28)</f>
        <v>645000</v>
      </c>
      <c r="G28" s="48"/>
      <c r="I28" s="48"/>
      <c r="J28" s="221">
        <f>SUM(F28:I28)</f>
        <v>645000</v>
      </c>
      <c r="K28" s="48"/>
    </row>
    <row r="29" spans="1:11" ht="15.75" thickTop="1">
      <c r="A29" s="222"/>
      <c r="C29" s="188"/>
      <c r="D29" s="188"/>
      <c r="E29" s="188"/>
      <c r="F29" s="216"/>
      <c r="G29" s="48"/>
      <c r="I29" s="48"/>
      <c r="J29" s="217"/>
      <c r="K29" s="48"/>
    </row>
    <row r="30" spans="1:11" ht="16.5" thickBot="1">
      <c r="A30" s="218">
        <v>2003</v>
      </c>
      <c r="C30" s="219">
        <f>+C12-C20</f>
        <v>645000</v>
      </c>
      <c r="D30" s="219">
        <f>+D12-D20</f>
        <v>0</v>
      </c>
      <c r="E30" s="219">
        <f>+E12-E20</f>
        <v>0</v>
      </c>
      <c r="F30" s="220">
        <f>SUM(C30:E30)</f>
        <v>645000</v>
      </c>
      <c r="G30" s="48"/>
      <c r="I30" s="48"/>
      <c r="J30" s="221">
        <f>SUM(F30:I30)</f>
        <v>645000</v>
      </c>
      <c r="K30" s="48"/>
    </row>
    <row r="31" spans="4:10" ht="15.75" thickTop="1">
      <c r="D31" s="48"/>
      <c r="E31" s="48"/>
      <c r="F31" s="223"/>
      <c r="J31" s="217"/>
    </row>
    <row r="32" spans="1:10" ht="15">
      <c r="A32" s="187" t="s">
        <v>335</v>
      </c>
      <c r="F32" s="223"/>
      <c r="J32" s="217"/>
    </row>
    <row r="33" spans="1:10" s="187" customFormat="1" ht="16.5" thickBot="1">
      <c r="A33" s="187" t="s">
        <v>419</v>
      </c>
      <c r="C33" s="219">
        <v>0</v>
      </c>
      <c r="D33" s="219">
        <v>0</v>
      </c>
      <c r="E33" s="219">
        <v>0</v>
      </c>
      <c r="F33" s="220">
        <f>SUM(C33:E33)</f>
        <v>0</v>
      </c>
      <c r="H33" s="188"/>
      <c r="J33" s="221">
        <f>SUM(F33:I33)</f>
        <v>0</v>
      </c>
    </row>
    <row r="34" spans="1:10" ht="16.5" thickBot="1" thickTop="1">
      <c r="A34" s="187"/>
      <c r="F34" s="223"/>
      <c r="J34" s="224"/>
    </row>
    <row r="36" spans="1:10" ht="15.75">
      <c r="A36" s="201" t="s">
        <v>420</v>
      </c>
      <c r="B36" s="187"/>
      <c r="C36" s="202"/>
      <c r="D36" s="192"/>
      <c r="E36" s="192"/>
      <c r="F36" s="189"/>
      <c r="G36" s="190"/>
      <c r="H36" s="188"/>
      <c r="I36" s="191"/>
      <c r="J36" s="203"/>
    </row>
    <row r="37" spans="1:10" ht="15.75">
      <c r="A37" s="192"/>
      <c r="B37" s="187"/>
      <c r="C37" s="202"/>
      <c r="D37" s="192"/>
      <c r="E37" s="192"/>
      <c r="F37" s="189"/>
      <c r="G37" s="190"/>
      <c r="H37" s="188"/>
      <c r="I37" s="191"/>
      <c r="J37" s="203"/>
    </row>
    <row r="38" spans="1:10" ht="15.75">
      <c r="A38" s="192" t="s">
        <v>324</v>
      </c>
      <c r="B38" s="187"/>
      <c r="C38" s="188"/>
      <c r="D38" s="188"/>
      <c r="E38" s="188"/>
      <c r="F38" s="204"/>
      <c r="G38" s="191"/>
      <c r="H38" s="188"/>
      <c r="I38" s="191"/>
      <c r="J38" s="203"/>
    </row>
    <row r="39" spans="1:10" ht="15.75">
      <c r="A39" s="187" t="s">
        <v>325</v>
      </c>
      <c r="B39" s="187"/>
      <c r="C39" s="188">
        <v>425000</v>
      </c>
      <c r="D39" s="188">
        <v>0</v>
      </c>
      <c r="E39" s="188">
        <v>0</v>
      </c>
      <c r="F39" s="204">
        <f>SUM(C39:E39)</f>
        <v>425000</v>
      </c>
      <c r="G39" s="191"/>
      <c r="H39" s="197"/>
      <c r="I39" s="191"/>
      <c r="J39" s="205">
        <f>SUM(F39:I39)</f>
        <v>425000</v>
      </c>
    </row>
    <row r="40" spans="1:10" ht="15.75">
      <c r="A40" s="187" t="s">
        <v>326</v>
      </c>
      <c r="B40" s="187"/>
      <c r="C40" s="188">
        <v>0</v>
      </c>
      <c r="D40" s="188">
        <v>0</v>
      </c>
      <c r="E40" s="188">
        <v>0</v>
      </c>
      <c r="F40" s="204">
        <f>SUM(C40:E40)</f>
        <v>0</v>
      </c>
      <c r="G40" s="191"/>
      <c r="H40" s="206"/>
      <c r="I40" s="191"/>
      <c r="J40" s="205">
        <f>SUM(F40:I40)</f>
        <v>0</v>
      </c>
    </row>
    <row r="41" spans="1:10" ht="15.75">
      <c r="A41" s="187" t="s">
        <v>327</v>
      </c>
      <c r="B41" s="187"/>
      <c r="C41" s="188">
        <v>0</v>
      </c>
      <c r="D41" s="188">
        <v>0</v>
      </c>
      <c r="E41" s="188">
        <v>0</v>
      </c>
      <c r="F41" s="204">
        <f>SUM(C41:E41)</f>
        <v>0</v>
      </c>
      <c r="G41" s="191"/>
      <c r="H41" s="206"/>
      <c r="I41" s="191"/>
      <c r="J41" s="205">
        <f>SUM(F41:I41)</f>
        <v>0</v>
      </c>
    </row>
    <row r="42" spans="1:10" ht="15.75">
      <c r="A42" s="187" t="s">
        <v>328</v>
      </c>
      <c r="B42" s="187"/>
      <c r="C42" s="188">
        <v>0</v>
      </c>
      <c r="D42" s="188">
        <v>0</v>
      </c>
      <c r="E42" s="188">
        <v>0</v>
      </c>
      <c r="F42" s="207">
        <f>SUM(C42:E42)</f>
        <v>0</v>
      </c>
      <c r="G42" s="191"/>
      <c r="H42" s="206"/>
      <c r="I42" s="191"/>
      <c r="J42" s="205">
        <f>SUM(F42:I42)</f>
        <v>0</v>
      </c>
    </row>
    <row r="43" spans="1:10" ht="15.75">
      <c r="A43" s="187"/>
      <c r="B43" s="187"/>
      <c r="C43" s="208"/>
      <c r="D43" s="208"/>
      <c r="E43" s="208"/>
      <c r="F43" s="209"/>
      <c r="G43" s="191"/>
      <c r="H43" s="206"/>
      <c r="I43" s="191"/>
      <c r="J43" s="210"/>
    </row>
    <row r="44" spans="1:10" ht="15.75">
      <c r="A44" s="187" t="s">
        <v>329</v>
      </c>
      <c r="B44" s="187"/>
      <c r="C44" s="211">
        <f>SUM(C39:C43)</f>
        <v>425000</v>
      </c>
      <c r="D44" s="211">
        <f>SUM(D39:D43)</f>
        <v>0</v>
      </c>
      <c r="E44" s="211">
        <f>SUM(E39:E43)</f>
        <v>0</v>
      </c>
      <c r="F44" s="212">
        <f>SUM(F39:F43)</f>
        <v>425000</v>
      </c>
      <c r="G44" s="191"/>
      <c r="H44" s="206"/>
      <c r="I44" s="191"/>
      <c r="J44" s="213">
        <f>SUM(J39:J43)</f>
        <v>425000</v>
      </c>
    </row>
    <row r="45" spans="1:10" ht="15.75">
      <c r="A45" s="187"/>
      <c r="B45" s="187"/>
      <c r="C45" s="188"/>
      <c r="D45" s="188"/>
      <c r="E45" s="188"/>
      <c r="F45" s="209"/>
      <c r="G45" s="191"/>
      <c r="H45" s="206"/>
      <c r="I45" s="191"/>
      <c r="J45" s="205"/>
    </row>
    <row r="46" spans="1:10" s="187" customFormat="1" ht="15.75" customHeight="1">
      <c r="A46" s="192" t="s">
        <v>330</v>
      </c>
      <c r="C46" s="188"/>
      <c r="D46" s="188"/>
      <c r="E46" s="188"/>
      <c r="F46" s="209"/>
      <c r="G46" s="191"/>
      <c r="H46" s="206"/>
      <c r="I46" s="191"/>
      <c r="J46" s="205"/>
    </row>
    <row r="47" spans="1:10" s="187" customFormat="1" ht="15.75" customHeight="1">
      <c r="A47" s="187" t="s">
        <v>325</v>
      </c>
      <c r="C47" s="188">
        <v>8500</v>
      </c>
      <c r="D47" s="188">
        <v>0</v>
      </c>
      <c r="E47" s="188">
        <v>0</v>
      </c>
      <c r="F47" s="204">
        <f>SUM(C47:E47)</f>
        <v>8500</v>
      </c>
      <c r="G47" s="191"/>
      <c r="H47" s="206"/>
      <c r="I47" s="191"/>
      <c r="J47" s="205">
        <f>SUM(F47:I47)</f>
        <v>8500</v>
      </c>
    </row>
    <row r="48" spans="1:11" s="187" customFormat="1" ht="15.75" customHeight="1">
      <c r="A48" s="187" t="s">
        <v>331</v>
      </c>
      <c r="C48" s="188">
        <v>8500</v>
      </c>
      <c r="D48" s="188">
        <v>0</v>
      </c>
      <c r="E48" s="188">
        <v>0</v>
      </c>
      <c r="F48" s="204">
        <f>SUM(C48:E48)</f>
        <v>8500</v>
      </c>
      <c r="G48" s="191"/>
      <c r="H48" s="206"/>
      <c r="I48" s="191"/>
      <c r="J48" s="205">
        <f>SUM(F48:I48)</f>
        <v>8500</v>
      </c>
      <c r="K48" s="188"/>
    </row>
    <row r="49" spans="1:11" s="187" customFormat="1" ht="15.75" customHeight="1">
      <c r="A49" s="187" t="s">
        <v>332</v>
      </c>
      <c r="C49" s="188">
        <v>0</v>
      </c>
      <c r="D49" s="188">
        <v>0</v>
      </c>
      <c r="E49" s="188">
        <v>0</v>
      </c>
      <c r="F49" s="204">
        <f>SUM(C49:E49)</f>
        <v>0</v>
      </c>
      <c r="G49" s="191"/>
      <c r="H49" s="206"/>
      <c r="I49" s="191"/>
      <c r="J49" s="205">
        <f>SUM(F49:I49)</f>
        <v>0</v>
      </c>
      <c r="K49" s="188"/>
    </row>
    <row r="50" spans="1:11" s="187" customFormat="1" ht="15.75" customHeight="1">
      <c r="A50" s="187" t="s">
        <v>333</v>
      </c>
      <c r="C50" s="188">
        <v>0</v>
      </c>
      <c r="D50" s="188">
        <v>0</v>
      </c>
      <c r="E50" s="188">
        <v>0</v>
      </c>
      <c r="F50" s="207">
        <f>SUM(C50:E50)</f>
        <v>0</v>
      </c>
      <c r="G50" s="191"/>
      <c r="H50" s="206"/>
      <c r="I50" s="191"/>
      <c r="J50" s="205">
        <f>SUM(F50:I50)</f>
        <v>0</v>
      </c>
      <c r="K50" s="188"/>
    </row>
    <row r="51" spans="2:11" s="187" customFormat="1" ht="15.75" customHeight="1">
      <c r="B51"/>
      <c r="C51" s="208"/>
      <c r="D51" s="208"/>
      <c r="E51" s="208"/>
      <c r="F51" s="48"/>
      <c r="G51" s="48"/>
      <c r="H51" s="25"/>
      <c r="I51" s="48"/>
      <c r="J51" s="214"/>
      <c r="K51" s="188"/>
    </row>
    <row r="52" spans="1:11" s="187" customFormat="1" ht="15.75" customHeight="1">
      <c r="A52" s="187" t="s">
        <v>329</v>
      </c>
      <c r="B52"/>
      <c r="C52" s="211">
        <f>SUM(C47:C51)</f>
        <v>17000</v>
      </c>
      <c r="D52" s="211">
        <f>SUM(D47:D51)</f>
        <v>0</v>
      </c>
      <c r="E52" s="211">
        <f>SUM(E47:E51)</f>
        <v>0</v>
      </c>
      <c r="F52" s="215">
        <f>SUM(F47:F51)</f>
        <v>17000</v>
      </c>
      <c r="G52" s="48"/>
      <c r="H52" s="25"/>
      <c r="I52" s="48"/>
      <c r="J52" s="213">
        <f>SUM(J47:J51)</f>
        <v>17000</v>
      </c>
      <c r="K52" s="188"/>
    </row>
    <row r="53" spans="2:11" s="187" customFormat="1" ht="15.75" customHeight="1">
      <c r="B53"/>
      <c r="C53" s="188"/>
      <c r="D53" s="188"/>
      <c r="E53" s="188"/>
      <c r="F53" s="216"/>
      <c r="G53" s="48"/>
      <c r="H53" s="25"/>
      <c r="I53" s="48"/>
      <c r="J53" s="217"/>
      <c r="K53" s="188"/>
    </row>
    <row r="54" spans="1:11" s="187" customFormat="1" ht="15.75" customHeight="1">
      <c r="A54" s="192" t="s">
        <v>334</v>
      </c>
      <c r="B54"/>
      <c r="C54" s="188"/>
      <c r="D54" s="188"/>
      <c r="E54" s="188"/>
      <c r="F54" s="216"/>
      <c r="G54" s="48"/>
      <c r="H54" s="25"/>
      <c r="I54" s="48"/>
      <c r="J54" s="217"/>
      <c r="K54" s="188"/>
    </row>
    <row r="55" spans="1:11" s="187" customFormat="1" ht="15.75" customHeight="1" thickBot="1">
      <c r="A55" s="218">
        <v>2004</v>
      </c>
      <c r="B55"/>
      <c r="C55" s="219">
        <f>C44-C52</f>
        <v>408000</v>
      </c>
      <c r="D55" s="219">
        <f>D44-D52</f>
        <v>0</v>
      </c>
      <c r="E55" s="219">
        <f>E44-E52</f>
        <v>0</v>
      </c>
      <c r="F55" s="220">
        <f>SUM(C55:E55)</f>
        <v>408000</v>
      </c>
      <c r="G55" s="48"/>
      <c r="H55" s="25"/>
      <c r="I55" s="48"/>
      <c r="J55" s="221">
        <f>SUM(F55:I55)</f>
        <v>408000</v>
      </c>
      <c r="K55" s="188"/>
    </row>
    <row r="56" spans="1:11" s="187" customFormat="1" ht="15.75" customHeight="1" thickTop="1">
      <c r="A56" s="222"/>
      <c r="B56"/>
      <c r="C56" s="188"/>
      <c r="D56" s="188"/>
      <c r="E56" s="188"/>
      <c r="F56" s="216"/>
      <c r="G56" s="48"/>
      <c r="H56" s="25"/>
      <c r="I56" s="48"/>
      <c r="J56" s="217"/>
      <c r="K56" s="188"/>
    </row>
    <row r="57" spans="1:11" s="187" customFormat="1" ht="15.75" customHeight="1" thickBot="1">
      <c r="A57" s="218">
        <v>2003</v>
      </c>
      <c r="B57"/>
      <c r="C57" s="219">
        <f>+C39-C47</f>
        <v>416500</v>
      </c>
      <c r="D57" s="219">
        <f>+D39-D47</f>
        <v>0</v>
      </c>
      <c r="E57" s="219">
        <f>+E39-E47</f>
        <v>0</v>
      </c>
      <c r="F57" s="220">
        <f>SUM(C57:E57)</f>
        <v>416500</v>
      </c>
      <c r="G57" s="48"/>
      <c r="H57" s="25"/>
      <c r="I57" s="48"/>
      <c r="J57" s="221">
        <f>SUM(F57:I57)</f>
        <v>416500</v>
      </c>
      <c r="K57" s="188"/>
    </row>
    <row r="58" spans="1:11" s="187" customFormat="1" ht="15.75" customHeight="1" thickTop="1">
      <c r="A58"/>
      <c r="B58"/>
      <c r="C58" s="48"/>
      <c r="D58" s="48"/>
      <c r="E58" s="48"/>
      <c r="F58" s="223"/>
      <c r="G58"/>
      <c r="H58" s="25"/>
      <c r="I58"/>
      <c r="J58" s="217"/>
      <c r="K58" s="188"/>
    </row>
    <row r="59" spans="1:11" s="187" customFormat="1" ht="15.75" customHeight="1">
      <c r="A59" s="187" t="s">
        <v>335</v>
      </c>
      <c r="B59"/>
      <c r="C59" s="48"/>
      <c r="D59"/>
      <c r="E59"/>
      <c r="F59" s="223"/>
      <c r="G59"/>
      <c r="H59" s="25"/>
      <c r="I59"/>
      <c r="J59" s="217"/>
      <c r="K59" s="188"/>
    </row>
    <row r="60" spans="1:11" s="187" customFormat="1" ht="15.75" customHeight="1" thickBot="1">
      <c r="A60" s="187" t="s">
        <v>419</v>
      </c>
      <c r="C60" s="219">
        <v>8500</v>
      </c>
      <c r="D60" s="219">
        <v>0</v>
      </c>
      <c r="E60" s="219">
        <v>0</v>
      </c>
      <c r="F60" s="220">
        <f>SUM(C60:E60)</f>
        <v>8500</v>
      </c>
      <c r="H60" s="188"/>
      <c r="J60" s="221">
        <f>SUM(F60:I60)</f>
        <v>8500</v>
      </c>
      <c r="K60" s="188"/>
    </row>
    <row r="61" spans="2:11" s="187" customFormat="1" ht="15.75" customHeight="1" thickBot="1" thickTop="1">
      <c r="B61"/>
      <c r="C61" s="48"/>
      <c r="D61"/>
      <c r="E61"/>
      <c r="F61" s="223"/>
      <c r="G61"/>
      <c r="H61" s="25"/>
      <c r="I61"/>
      <c r="J61" s="224"/>
      <c r="K61" s="188"/>
    </row>
    <row r="62" spans="1:11" s="187" customFormat="1" ht="15.75" customHeight="1">
      <c r="A62"/>
      <c r="B62"/>
      <c r="C62" s="48"/>
      <c r="D62"/>
      <c r="E62"/>
      <c r="F62"/>
      <c r="G62"/>
      <c r="H62" s="25"/>
      <c r="I62"/>
      <c r="J62" s="9"/>
      <c r="K62" s="188"/>
    </row>
    <row r="63" spans="1:10" ht="15.75">
      <c r="A63" s="201" t="s">
        <v>421</v>
      </c>
      <c r="B63" s="187"/>
      <c r="C63" s="202"/>
      <c r="D63" s="192"/>
      <c r="E63" s="192"/>
      <c r="F63" s="189"/>
      <c r="G63" s="190"/>
      <c r="H63" s="188"/>
      <c r="I63" s="191"/>
      <c r="J63" s="225"/>
    </row>
    <row r="64" spans="1:10" ht="16.5" thickBot="1">
      <c r="A64" s="192"/>
      <c r="B64" s="187"/>
      <c r="C64" s="202"/>
      <c r="D64" s="192"/>
      <c r="E64" s="192"/>
      <c r="F64" s="189"/>
      <c r="G64" s="190"/>
      <c r="H64" s="188"/>
      <c r="I64" s="191"/>
      <c r="J64" s="225"/>
    </row>
    <row r="65" spans="1:10" s="187" customFormat="1" ht="15.75">
      <c r="A65" s="192" t="s">
        <v>324</v>
      </c>
      <c r="C65" s="188"/>
      <c r="D65" s="188"/>
      <c r="E65" s="188"/>
      <c r="F65" s="204"/>
      <c r="G65" s="191"/>
      <c r="H65" s="188"/>
      <c r="I65" s="191"/>
      <c r="J65" s="226"/>
    </row>
    <row r="66" spans="1:10" ht="15.75">
      <c r="A66" s="187" t="s">
        <v>325</v>
      </c>
      <c r="B66" s="187"/>
      <c r="C66" s="188">
        <v>97879</v>
      </c>
      <c r="D66" s="188">
        <v>0</v>
      </c>
      <c r="E66" s="188">
        <v>0</v>
      </c>
      <c r="F66" s="204">
        <f>SUM(C66:E66)</f>
        <v>97879</v>
      </c>
      <c r="G66" s="227"/>
      <c r="H66" s="273"/>
      <c r="I66" s="191"/>
      <c r="J66" s="205">
        <f>SUM(F66:I66)</f>
        <v>97879</v>
      </c>
    </row>
    <row r="67" spans="1:10" s="187" customFormat="1" ht="15.75" customHeight="1">
      <c r="A67" s="187" t="s">
        <v>326</v>
      </c>
      <c r="C67" s="188">
        <v>7478</v>
      </c>
      <c r="D67" s="188">
        <v>0</v>
      </c>
      <c r="E67" s="188">
        <v>0</v>
      </c>
      <c r="F67" s="204">
        <f>SUM(C67:E67)</f>
        <v>7478</v>
      </c>
      <c r="G67" s="191"/>
      <c r="H67" s="209"/>
      <c r="I67" s="191"/>
      <c r="J67" s="205">
        <f>SUM(F67:I67)</f>
        <v>7478</v>
      </c>
    </row>
    <row r="68" spans="1:10" s="187" customFormat="1" ht="15.75" customHeight="1">
      <c r="A68" s="187" t="s">
        <v>336</v>
      </c>
      <c r="C68" s="188"/>
      <c r="D68" s="188"/>
      <c r="E68" s="188"/>
      <c r="F68" s="204"/>
      <c r="G68" s="191"/>
      <c r="H68" s="209"/>
      <c r="I68" s="191"/>
      <c r="J68" s="205"/>
    </row>
    <row r="69" spans="1:11" s="187" customFormat="1" ht="15.75" customHeight="1">
      <c r="A69" s="187" t="s">
        <v>337</v>
      </c>
      <c r="C69" s="188">
        <v>0</v>
      </c>
      <c r="D69" s="188">
        <v>0</v>
      </c>
      <c r="E69" s="188">
        <v>0</v>
      </c>
      <c r="F69" s="204">
        <f>SUM(C69:E69)</f>
        <v>0</v>
      </c>
      <c r="G69" s="191"/>
      <c r="H69" s="209"/>
      <c r="I69" s="191"/>
      <c r="J69" s="205">
        <f>SUM(F69:I69)</f>
        <v>0</v>
      </c>
      <c r="K69" s="188"/>
    </row>
    <row r="70" spans="1:11" s="187" customFormat="1" ht="15.75" customHeight="1">
      <c r="A70" s="187" t="s">
        <v>327</v>
      </c>
      <c r="C70" s="188">
        <v>0</v>
      </c>
      <c r="D70" s="188">
        <v>0</v>
      </c>
      <c r="E70" s="188">
        <v>0</v>
      </c>
      <c r="F70" s="204">
        <f>SUM(C70:E70)</f>
        <v>0</v>
      </c>
      <c r="G70" s="191"/>
      <c r="H70" s="209"/>
      <c r="I70" s="191"/>
      <c r="J70" s="205">
        <f>SUM(F70:I70)</f>
        <v>0</v>
      </c>
      <c r="K70" s="188"/>
    </row>
    <row r="71" spans="1:11" s="187" customFormat="1" ht="15.75" customHeight="1">
      <c r="A71" s="187" t="s">
        <v>333</v>
      </c>
      <c r="C71" s="188">
        <v>0</v>
      </c>
      <c r="D71" s="188">
        <v>0</v>
      </c>
      <c r="E71" s="188">
        <v>0</v>
      </c>
      <c r="F71" s="207">
        <f>SUM(C71:E71)</f>
        <v>0</v>
      </c>
      <c r="G71" s="191"/>
      <c r="H71" s="209"/>
      <c r="I71" s="191"/>
      <c r="J71" s="205">
        <f>SUM(F71:I71)</f>
        <v>0</v>
      </c>
      <c r="K71" s="188"/>
    </row>
    <row r="72" spans="3:11" s="187" customFormat="1" ht="15.75" customHeight="1">
      <c r="C72" s="208"/>
      <c r="D72" s="208"/>
      <c r="E72" s="208"/>
      <c r="F72" s="209"/>
      <c r="G72" s="191"/>
      <c r="H72" s="209"/>
      <c r="I72" s="191"/>
      <c r="J72" s="210"/>
      <c r="K72" s="188"/>
    </row>
    <row r="73" spans="1:11" s="187" customFormat="1" ht="15.75" customHeight="1">
      <c r="A73" s="187" t="s">
        <v>329</v>
      </c>
      <c r="C73" s="211">
        <f>SUM(C66:C72)</f>
        <v>105357</v>
      </c>
      <c r="D73" s="211">
        <f>SUM(D66:D72)</f>
        <v>0</v>
      </c>
      <c r="E73" s="228">
        <f>SUM(E66:E72)</f>
        <v>0</v>
      </c>
      <c r="F73" s="212">
        <f>SUM(F66:F72)</f>
        <v>105357</v>
      </c>
      <c r="G73" s="191"/>
      <c r="H73" s="209"/>
      <c r="I73" s="191"/>
      <c r="J73" s="213">
        <f>SUM(J66:J72)</f>
        <v>105357</v>
      </c>
      <c r="K73" s="188"/>
    </row>
    <row r="74" spans="3:11" s="187" customFormat="1" ht="15.75" customHeight="1">
      <c r="C74" s="188"/>
      <c r="D74" s="188"/>
      <c r="E74" s="188"/>
      <c r="F74" s="209"/>
      <c r="G74" s="191"/>
      <c r="H74" s="209"/>
      <c r="I74" s="191"/>
      <c r="J74" s="205"/>
      <c r="K74" s="188"/>
    </row>
    <row r="75" spans="1:11" s="187" customFormat="1" ht="15.75" customHeight="1">
      <c r="A75" s="192" t="s">
        <v>330</v>
      </c>
      <c r="C75" s="188"/>
      <c r="D75" s="188"/>
      <c r="E75" s="188"/>
      <c r="F75" s="209"/>
      <c r="G75" s="191"/>
      <c r="H75" s="209"/>
      <c r="I75" s="191"/>
      <c r="J75" s="205"/>
      <c r="K75" s="188"/>
    </row>
    <row r="76" spans="1:11" s="187" customFormat="1" ht="15.75" customHeight="1">
      <c r="A76" s="187" t="s">
        <v>325</v>
      </c>
      <c r="C76" s="188">
        <v>28541.11</v>
      </c>
      <c r="D76" s="188">
        <v>0</v>
      </c>
      <c r="E76" s="188">
        <v>0</v>
      </c>
      <c r="F76" s="204">
        <v>28541.11</v>
      </c>
      <c r="G76" s="227"/>
      <c r="H76" s="209"/>
      <c r="I76" s="191"/>
      <c r="J76" s="205">
        <f>SUM(F76:I76)</f>
        <v>28541.11</v>
      </c>
      <c r="K76" s="188"/>
    </row>
    <row r="77" spans="1:11" s="187" customFormat="1" ht="15.75" customHeight="1">
      <c r="A77" s="187" t="s">
        <v>331</v>
      </c>
      <c r="C77" s="188">
        <v>7226.11</v>
      </c>
      <c r="D77" s="188">
        <v>0</v>
      </c>
      <c r="E77" s="188">
        <v>0</v>
      </c>
      <c r="F77" s="204">
        <f>SUM(C77:E77)</f>
        <v>7226.11</v>
      </c>
      <c r="G77" s="191"/>
      <c r="H77" s="209"/>
      <c r="I77" s="191"/>
      <c r="J77" s="205">
        <f>SUM(F77:I77)</f>
        <v>7226.11</v>
      </c>
      <c r="K77" s="188"/>
    </row>
    <row r="78" spans="1:11" s="187" customFormat="1" ht="15.75" customHeight="1">
      <c r="A78" s="187" t="s">
        <v>336</v>
      </c>
      <c r="C78" s="188"/>
      <c r="D78" s="188"/>
      <c r="E78" s="188"/>
      <c r="F78" s="204"/>
      <c r="G78" s="191"/>
      <c r="H78" s="209"/>
      <c r="I78" s="191"/>
      <c r="J78" s="205"/>
      <c r="K78" s="188"/>
    </row>
    <row r="79" spans="1:11" s="187" customFormat="1" ht="15.75" customHeight="1">
      <c r="A79" s="187" t="s">
        <v>337</v>
      </c>
      <c r="C79" s="188">
        <v>0</v>
      </c>
      <c r="D79" s="188">
        <v>0</v>
      </c>
      <c r="E79" s="188">
        <v>0</v>
      </c>
      <c r="F79" s="204">
        <f>SUM(C79:E79)</f>
        <v>0</v>
      </c>
      <c r="G79" s="191"/>
      <c r="H79" s="209"/>
      <c r="I79" s="191"/>
      <c r="J79" s="205">
        <f>SUM(F79:I79)</f>
        <v>0</v>
      </c>
      <c r="K79" s="188"/>
    </row>
    <row r="80" spans="1:11" s="187" customFormat="1" ht="15.75" customHeight="1">
      <c r="A80" s="187" t="s">
        <v>332</v>
      </c>
      <c r="C80" s="188">
        <v>0</v>
      </c>
      <c r="D80" s="188">
        <v>0</v>
      </c>
      <c r="E80" s="188">
        <v>0</v>
      </c>
      <c r="F80" s="204">
        <f>SUM(C80:E80)</f>
        <v>0</v>
      </c>
      <c r="G80" s="191"/>
      <c r="H80" s="209"/>
      <c r="I80" s="191"/>
      <c r="J80" s="205">
        <f>SUM(F80:I80)</f>
        <v>0</v>
      </c>
      <c r="K80" s="188"/>
    </row>
    <row r="81" spans="1:11" s="187" customFormat="1" ht="15.75" customHeight="1">
      <c r="A81" s="187" t="s">
        <v>333</v>
      </c>
      <c r="C81" s="188">
        <v>0</v>
      </c>
      <c r="D81" s="188">
        <v>0</v>
      </c>
      <c r="E81" s="188">
        <v>0</v>
      </c>
      <c r="F81" s="207">
        <f>SUM(C81:E81)</f>
        <v>0</v>
      </c>
      <c r="G81" s="191"/>
      <c r="H81" s="209"/>
      <c r="I81" s="191"/>
      <c r="J81" s="205">
        <f>SUM(F81:I81)</f>
        <v>0</v>
      </c>
      <c r="K81" s="188"/>
    </row>
    <row r="82" spans="2:11" s="187" customFormat="1" ht="15.75" customHeight="1">
      <c r="B82"/>
      <c r="C82" s="208"/>
      <c r="D82" s="208"/>
      <c r="E82" s="208"/>
      <c r="F82" s="48"/>
      <c r="G82" s="48"/>
      <c r="H82" s="128"/>
      <c r="I82" s="48"/>
      <c r="J82" s="214"/>
      <c r="K82" s="188"/>
    </row>
    <row r="83" spans="1:11" s="187" customFormat="1" ht="15.75" customHeight="1">
      <c r="A83" s="187" t="s">
        <v>329</v>
      </c>
      <c r="B83"/>
      <c r="C83" s="211">
        <f>SUM(C76:C82)</f>
        <v>35767.22</v>
      </c>
      <c r="D83" s="211">
        <f>SUM(D76:D82)</f>
        <v>0</v>
      </c>
      <c r="E83" s="228">
        <f>SUM(E76:E82)</f>
        <v>0</v>
      </c>
      <c r="F83" s="215">
        <f>SUM(F76:F82)</f>
        <v>35767.22</v>
      </c>
      <c r="G83" s="48"/>
      <c r="H83" s="272"/>
      <c r="I83" s="48"/>
      <c r="J83" s="213">
        <f>SUM(J76:J82)</f>
        <v>35767.22</v>
      </c>
      <c r="K83" s="188"/>
    </row>
    <row r="84" spans="2:11" s="187" customFormat="1" ht="15.75" customHeight="1">
      <c r="B84"/>
      <c r="C84" s="188"/>
      <c r="D84" s="188"/>
      <c r="E84" s="188"/>
      <c r="F84" s="216"/>
      <c r="G84" s="48"/>
      <c r="H84" s="128"/>
      <c r="I84" s="48"/>
      <c r="J84" s="217"/>
      <c r="K84" s="188"/>
    </row>
    <row r="85" spans="1:11" s="187" customFormat="1" ht="15.75" customHeight="1">
      <c r="A85" s="192" t="s">
        <v>334</v>
      </c>
      <c r="B85"/>
      <c r="C85" s="188"/>
      <c r="D85" s="188"/>
      <c r="E85" s="188"/>
      <c r="F85" s="216"/>
      <c r="G85" s="48"/>
      <c r="H85" s="128"/>
      <c r="I85" s="48"/>
      <c r="J85" s="217"/>
      <c r="K85" s="188"/>
    </row>
    <row r="86" spans="1:11" ht="16.5" thickBot="1">
      <c r="A86" s="218">
        <v>2004</v>
      </c>
      <c r="C86" s="219">
        <f>C73-C83</f>
        <v>69589.78</v>
      </c>
      <c r="D86" s="219">
        <f>D73-D83</f>
        <v>0</v>
      </c>
      <c r="E86" s="219">
        <f>E73-E83</f>
        <v>0</v>
      </c>
      <c r="F86" s="220">
        <f>SUM(C86:E86)</f>
        <v>69589.78</v>
      </c>
      <c r="G86" s="227"/>
      <c r="H86" s="272"/>
      <c r="I86" s="48"/>
      <c r="J86" s="221">
        <f>SUM(F86:I86)</f>
        <v>69589.78</v>
      </c>
      <c r="K86" s="48"/>
    </row>
    <row r="87" spans="1:11" ht="15.75" thickTop="1">
      <c r="A87" s="222"/>
      <c r="C87" s="188"/>
      <c r="D87" s="188"/>
      <c r="E87" s="188"/>
      <c r="F87" s="216"/>
      <c r="G87" s="48"/>
      <c r="H87" s="128"/>
      <c r="I87" s="48"/>
      <c r="J87" s="217"/>
      <c r="K87" s="48"/>
    </row>
    <row r="88" spans="1:11" ht="16.5" thickBot="1">
      <c r="A88" s="218">
        <v>2003</v>
      </c>
      <c r="C88" s="219">
        <f>+C66-C76</f>
        <v>69337.89</v>
      </c>
      <c r="D88" s="219">
        <f>+D66-D76</f>
        <v>0</v>
      </c>
      <c r="E88" s="219">
        <f>+E66-E76</f>
        <v>0</v>
      </c>
      <c r="F88" s="220">
        <f>SUM(C88:E88)</f>
        <v>69337.89</v>
      </c>
      <c r="G88" s="229"/>
      <c r="H88" s="272"/>
      <c r="I88" s="48"/>
      <c r="J88" s="221">
        <f>SUM(F88:I88)</f>
        <v>69337.89</v>
      </c>
      <c r="K88" s="48"/>
    </row>
    <row r="89" spans="4:11" ht="15.75" thickTop="1">
      <c r="D89" s="48"/>
      <c r="E89" s="48"/>
      <c r="F89" s="223"/>
      <c r="H89" s="128"/>
      <c r="J89" s="217"/>
      <c r="K89" s="48"/>
    </row>
    <row r="90" spans="1:11" ht="15">
      <c r="A90" s="187" t="s">
        <v>335</v>
      </c>
      <c r="F90" s="223"/>
      <c r="H90" s="128"/>
      <c r="J90" s="217"/>
      <c r="K90" s="48"/>
    </row>
    <row r="91" spans="1:11" ht="16.5" thickBot="1">
      <c r="A91" s="187" t="s">
        <v>419</v>
      </c>
      <c r="B91" s="187"/>
      <c r="C91" s="219">
        <v>4228</v>
      </c>
      <c r="D91" s="219">
        <v>0</v>
      </c>
      <c r="E91" s="219">
        <v>0</v>
      </c>
      <c r="F91" s="220">
        <f>SUM(C91:E91)</f>
        <v>4228</v>
      </c>
      <c r="G91" s="187"/>
      <c r="H91" s="204"/>
      <c r="I91" s="187"/>
      <c r="J91" s="221">
        <f>SUM(F91:I91)</f>
        <v>4228</v>
      </c>
      <c r="K91" s="48"/>
    </row>
    <row r="92" spans="1:11" ht="16.5" thickBot="1" thickTop="1">
      <c r="A92" s="187"/>
      <c r="F92" s="223"/>
      <c r="H92" s="128"/>
      <c r="J92" s="224"/>
      <c r="K92" s="48"/>
    </row>
    <row r="93" spans="1:10" ht="15.75">
      <c r="A93" s="201" t="s">
        <v>422</v>
      </c>
      <c r="B93" s="187"/>
      <c r="C93" s="202"/>
      <c r="D93" s="192"/>
      <c r="E93" s="192"/>
      <c r="F93" s="189"/>
      <c r="G93" s="190"/>
      <c r="H93" s="204"/>
      <c r="I93" s="191"/>
      <c r="J93" s="225"/>
    </row>
    <row r="94" spans="1:10" ht="16.5" thickBot="1">
      <c r="A94" s="192"/>
      <c r="B94" s="187"/>
      <c r="C94" s="202"/>
      <c r="D94" s="192"/>
      <c r="E94" s="192"/>
      <c r="F94" s="189"/>
      <c r="G94" s="190"/>
      <c r="H94" s="204"/>
      <c r="I94" s="191"/>
      <c r="J94" s="225"/>
    </row>
    <row r="95" spans="1:10" s="187" customFormat="1" ht="15.75">
      <c r="A95" s="192" t="s">
        <v>324</v>
      </c>
      <c r="C95" s="188"/>
      <c r="D95" s="188"/>
      <c r="E95" s="188"/>
      <c r="F95" s="204"/>
      <c r="G95" s="191"/>
      <c r="H95" s="204"/>
      <c r="I95" s="191"/>
      <c r="J95" s="226"/>
    </row>
    <row r="96" spans="1:10" ht="15.75">
      <c r="A96" s="187" t="s">
        <v>325</v>
      </c>
      <c r="B96" s="187"/>
      <c r="C96" s="188">
        <v>36299</v>
      </c>
      <c r="D96" s="188">
        <v>0</v>
      </c>
      <c r="E96" s="188">
        <v>0</v>
      </c>
      <c r="F96" s="204">
        <f>SUM(C96:E96)</f>
        <v>36299</v>
      </c>
      <c r="G96" s="191"/>
      <c r="H96" s="273"/>
      <c r="I96" s="191"/>
      <c r="J96" s="205">
        <f>SUM(F96:I96)</f>
        <v>36299</v>
      </c>
    </row>
    <row r="97" spans="1:10" ht="15.75">
      <c r="A97" s="187" t="s">
        <v>326</v>
      </c>
      <c r="B97" s="187"/>
      <c r="C97" s="188">
        <v>0</v>
      </c>
      <c r="D97" s="188">
        <v>0</v>
      </c>
      <c r="E97" s="188">
        <v>0</v>
      </c>
      <c r="F97" s="204">
        <f>SUM(C97:E97)</f>
        <v>0</v>
      </c>
      <c r="G97" s="191"/>
      <c r="H97" s="209"/>
      <c r="I97" s="191"/>
      <c r="J97" s="205">
        <f>SUM(F97:I97)</f>
        <v>0</v>
      </c>
    </row>
    <row r="98" spans="1:10" s="187" customFormat="1" ht="15.75" customHeight="1">
      <c r="A98" s="187" t="s">
        <v>336</v>
      </c>
      <c r="C98" s="188"/>
      <c r="D98" s="188"/>
      <c r="E98" s="188"/>
      <c r="F98" s="204"/>
      <c r="G98" s="191"/>
      <c r="H98" s="209"/>
      <c r="I98" s="191"/>
      <c r="J98" s="205"/>
    </row>
    <row r="99" spans="1:10" s="187" customFormat="1" ht="15.75" customHeight="1">
      <c r="A99" s="187" t="s">
        <v>337</v>
      </c>
      <c r="C99" s="188">
        <v>0</v>
      </c>
      <c r="D99" s="188">
        <v>0</v>
      </c>
      <c r="E99" s="188">
        <v>0</v>
      </c>
      <c r="F99" s="204">
        <f>SUM(C99:E99)</f>
        <v>0</v>
      </c>
      <c r="G99" s="191"/>
      <c r="H99" s="209"/>
      <c r="I99" s="191"/>
      <c r="J99" s="205">
        <f>SUM(F99:I99)</f>
        <v>0</v>
      </c>
    </row>
    <row r="100" spans="1:11" s="187" customFormat="1" ht="15.75" customHeight="1">
      <c r="A100" s="187" t="s">
        <v>327</v>
      </c>
      <c r="C100" s="188">
        <v>0</v>
      </c>
      <c r="D100" s="188">
        <v>0</v>
      </c>
      <c r="E100" s="188">
        <v>0</v>
      </c>
      <c r="F100" s="204">
        <f>SUM(C100:E100)</f>
        <v>0</v>
      </c>
      <c r="G100" s="191"/>
      <c r="H100" s="209"/>
      <c r="I100" s="191"/>
      <c r="J100" s="205">
        <f>SUM(F100:I100)</f>
        <v>0</v>
      </c>
      <c r="K100" s="188"/>
    </row>
    <row r="101" spans="1:11" s="187" customFormat="1" ht="15.75" customHeight="1">
      <c r="A101" s="187" t="s">
        <v>333</v>
      </c>
      <c r="C101" s="188">
        <v>0</v>
      </c>
      <c r="D101" s="188">
        <v>0</v>
      </c>
      <c r="E101" s="188">
        <v>0</v>
      </c>
      <c r="F101" s="207">
        <f>SUM(C101:E101)</f>
        <v>0</v>
      </c>
      <c r="G101" s="191"/>
      <c r="H101" s="209"/>
      <c r="I101" s="191"/>
      <c r="J101" s="205">
        <f>SUM(F101:I101)</f>
        <v>0</v>
      </c>
      <c r="K101" s="188"/>
    </row>
    <row r="102" spans="3:11" s="187" customFormat="1" ht="15.75" customHeight="1">
      <c r="C102" s="208"/>
      <c r="D102" s="208"/>
      <c r="E102" s="208"/>
      <c r="F102" s="209"/>
      <c r="G102" s="191"/>
      <c r="H102" s="209"/>
      <c r="I102" s="191"/>
      <c r="J102" s="210"/>
      <c r="K102" s="188"/>
    </row>
    <row r="103" spans="1:11" s="187" customFormat="1" ht="15.75" customHeight="1">
      <c r="A103" s="187" t="s">
        <v>329</v>
      </c>
      <c r="C103" s="211">
        <f>SUM(C96:C102)</f>
        <v>36299</v>
      </c>
      <c r="D103" s="211">
        <f>SUM(D96:D102)</f>
        <v>0</v>
      </c>
      <c r="E103" s="228">
        <f>SUM(E96:E102)</f>
        <v>0</v>
      </c>
      <c r="F103" s="212">
        <f>SUM(F96:F102)</f>
        <v>36299</v>
      </c>
      <c r="G103" s="191"/>
      <c r="H103" s="209"/>
      <c r="I103" s="191"/>
      <c r="J103" s="213">
        <f>SUM(J96:J102)</f>
        <v>36299</v>
      </c>
      <c r="K103" s="188"/>
    </row>
    <row r="104" spans="3:11" s="187" customFormat="1" ht="15.75" customHeight="1">
      <c r="C104" s="188"/>
      <c r="D104" s="188"/>
      <c r="E104" s="188"/>
      <c r="F104" s="209"/>
      <c r="G104" s="191"/>
      <c r="H104" s="209"/>
      <c r="I104" s="191"/>
      <c r="J104" s="205"/>
      <c r="K104" s="188"/>
    </row>
    <row r="105" spans="1:11" s="187" customFormat="1" ht="15.75" customHeight="1">
      <c r="A105" s="192" t="s">
        <v>330</v>
      </c>
      <c r="C105" s="188"/>
      <c r="D105" s="188"/>
      <c r="E105" s="188"/>
      <c r="F105" s="209"/>
      <c r="G105" s="191"/>
      <c r="H105" s="209"/>
      <c r="I105" s="191"/>
      <c r="J105" s="205"/>
      <c r="K105" s="188"/>
    </row>
    <row r="106" spans="1:11" s="187" customFormat="1" ht="15.75" customHeight="1">
      <c r="A106" s="187" t="s">
        <v>325</v>
      </c>
      <c r="C106" s="188">
        <v>15294</v>
      </c>
      <c r="D106" s="188">
        <v>0</v>
      </c>
      <c r="E106" s="188">
        <v>0</v>
      </c>
      <c r="F106" s="204">
        <f>SUM(C106:E106)</f>
        <v>15294</v>
      </c>
      <c r="G106" s="191"/>
      <c r="H106" s="209"/>
      <c r="I106" s="191"/>
      <c r="J106" s="205">
        <f>SUM(F106:I106)</f>
        <v>15294</v>
      </c>
      <c r="K106" s="188"/>
    </row>
    <row r="107" spans="1:11" s="187" customFormat="1" ht="15.75" customHeight="1">
      <c r="A107" s="187" t="s">
        <v>331</v>
      </c>
      <c r="C107" s="188">
        <v>2902.69</v>
      </c>
      <c r="D107" s="188">
        <v>0</v>
      </c>
      <c r="E107" s="188">
        <v>0</v>
      </c>
      <c r="F107" s="204">
        <f>SUM(C107:E107)</f>
        <v>2902.69</v>
      </c>
      <c r="G107" s="191"/>
      <c r="H107" s="209"/>
      <c r="I107" s="191"/>
      <c r="J107" s="205">
        <f>SUM(F107:I107)</f>
        <v>2902.69</v>
      </c>
      <c r="K107" s="188"/>
    </row>
    <row r="108" spans="1:11" s="187" customFormat="1" ht="15.75" customHeight="1">
      <c r="A108" s="187" t="s">
        <v>336</v>
      </c>
      <c r="C108" s="188"/>
      <c r="D108" s="188"/>
      <c r="E108" s="188"/>
      <c r="F108" s="204"/>
      <c r="G108" s="191"/>
      <c r="H108" s="209"/>
      <c r="I108" s="191"/>
      <c r="J108" s="205"/>
      <c r="K108" s="188"/>
    </row>
    <row r="109" spans="1:11" s="187" customFormat="1" ht="15.75" customHeight="1">
      <c r="A109" s="187" t="s">
        <v>337</v>
      </c>
      <c r="C109" s="188">
        <v>0</v>
      </c>
      <c r="D109" s="188">
        <v>0</v>
      </c>
      <c r="E109" s="188">
        <v>0</v>
      </c>
      <c r="F109" s="204">
        <f>SUM(C109:E109)</f>
        <v>0</v>
      </c>
      <c r="G109" s="191"/>
      <c r="H109" s="209"/>
      <c r="I109" s="191"/>
      <c r="J109" s="205">
        <f>SUM(F109:I109)</f>
        <v>0</v>
      </c>
      <c r="K109" s="188"/>
    </row>
    <row r="110" spans="1:11" s="187" customFormat="1" ht="15.75" customHeight="1">
      <c r="A110" s="187" t="s">
        <v>332</v>
      </c>
      <c r="C110" s="188">
        <v>0</v>
      </c>
      <c r="D110" s="188">
        <v>0</v>
      </c>
      <c r="E110" s="188">
        <v>0</v>
      </c>
      <c r="F110" s="204">
        <f>SUM(C110:E110)</f>
        <v>0</v>
      </c>
      <c r="G110" s="191"/>
      <c r="H110" s="209"/>
      <c r="I110" s="191"/>
      <c r="J110" s="205">
        <f>SUM(F110:I110)</f>
        <v>0</v>
      </c>
      <c r="K110" s="188"/>
    </row>
    <row r="111" spans="1:11" s="187" customFormat="1" ht="15.75" customHeight="1">
      <c r="A111" s="187" t="s">
        <v>333</v>
      </c>
      <c r="C111" s="188">
        <v>0</v>
      </c>
      <c r="D111" s="188">
        <v>0</v>
      </c>
      <c r="E111" s="188">
        <v>0</v>
      </c>
      <c r="F111" s="207">
        <f>SUM(C111:E111)</f>
        <v>0</v>
      </c>
      <c r="G111" s="191"/>
      <c r="H111" s="209"/>
      <c r="I111" s="191"/>
      <c r="J111" s="205">
        <f>SUM(F111:I111)</f>
        <v>0</v>
      </c>
      <c r="K111" s="188"/>
    </row>
    <row r="112" spans="2:11" s="187" customFormat="1" ht="15.75" customHeight="1">
      <c r="B112"/>
      <c r="C112" s="208"/>
      <c r="D112" s="208"/>
      <c r="E112" s="208"/>
      <c r="F112" s="48"/>
      <c r="G112" s="48"/>
      <c r="H112" s="128"/>
      <c r="I112" s="48"/>
      <c r="J112" s="214"/>
      <c r="K112" s="188"/>
    </row>
    <row r="113" spans="1:11" s="187" customFormat="1" ht="15.75" customHeight="1">
      <c r="A113" s="187" t="s">
        <v>329</v>
      </c>
      <c r="B113"/>
      <c r="C113" s="211">
        <f>SUM(C106:C112)</f>
        <v>18196.69</v>
      </c>
      <c r="D113" s="211">
        <f>SUM(D106:D112)</f>
        <v>0</v>
      </c>
      <c r="E113" s="228">
        <f>SUM(E106:E112)</f>
        <v>0</v>
      </c>
      <c r="F113" s="215">
        <f>SUM(F106:F112)</f>
        <v>18196.69</v>
      </c>
      <c r="G113" s="48"/>
      <c r="H113" s="272"/>
      <c r="I113" s="48"/>
      <c r="J113" s="213">
        <f>SUM(J106:J112)</f>
        <v>18196.69</v>
      </c>
      <c r="K113" s="188"/>
    </row>
    <row r="114" spans="2:11" s="187" customFormat="1" ht="15.75" customHeight="1">
      <c r="B114"/>
      <c r="C114" s="188"/>
      <c r="D114" s="188"/>
      <c r="E114" s="188"/>
      <c r="F114" s="216"/>
      <c r="G114" s="48"/>
      <c r="H114" s="128"/>
      <c r="I114" s="48"/>
      <c r="J114" s="217"/>
      <c r="K114" s="188"/>
    </row>
    <row r="115" spans="1:11" s="187" customFormat="1" ht="15.75" customHeight="1">
      <c r="A115" s="192" t="s">
        <v>334</v>
      </c>
      <c r="B115"/>
      <c r="C115" s="188"/>
      <c r="D115" s="188"/>
      <c r="E115" s="188"/>
      <c r="F115" s="216"/>
      <c r="G115" s="48"/>
      <c r="H115" s="128"/>
      <c r="I115" s="48"/>
      <c r="J115" s="217"/>
      <c r="K115" s="188"/>
    </row>
    <row r="116" spans="1:11" s="187" customFormat="1" ht="15.75" customHeight="1" thickBot="1">
      <c r="A116" s="218">
        <v>2004</v>
      </c>
      <c r="B116"/>
      <c r="C116" s="219">
        <f>C103-C113</f>
        <v>18102.31</v>
      </c>
      <c r="D116" s="219">
        <f>D103-D113</f>
        <v>0</v>
      </c>
      <c r="E116" s="219">
        <f>E103-E113</f>
        <v>0</v>
      </c>
      <c r="F116" s="220">
        <f>SUM(C116:E116)</f>
        <v>18102.31</v>
      </c>
      <c r="G116" s="48"/>
      <c r="H116" s="272"/>
      <c r="I116" s="48"/>
      <c r="J116" s="221">
        <f>SUM(F116:I116)</f>
        <v>18102.31</v>
      </c>
      <c r="K116" s="188"/>
    </row>
    <row r="117" spans="1:11" ht="15.75" thickTop="1">
      <c r="A117" s="222"/>
      <c r="C117" s="188"/>
      <c r="D117" s="188"/>
      <c r="E117" s="188"/>
      <c r="F117" s="216"/>
      <c r="G117" s="48"/>
      <c r="H117" s="128"/>
      <c r="I117" s="48"/>
      <c r="J117" s="217"/>
      <c r="K117" s="48"/>
    </row>
    <row r="118" spans="1:11" ht="16.5" thickBot="1">
      <c r="A118" s="218">
        <v>2003</v>
      </c>
      <c r="C118" s="219">
        <f>+C96-C106</f>
        <v>21005</v>
      </c>
      <c r="D118" s="219">
        <f>+D96-D106</f>
        <v>0</v>
      </c>
      <c r="E118" s="219">
        <f>+E96-E106</f>
        <v>0</v>
      </c>
      <c r="F118" s="220">
        <f>SUM(C118:E118)</f>
        <v>21005</v>
      </c>
      <c r="G118" s="48"/>
      <c r="H118" s="128"/>
      <c r="I118" s="48"/>
      <c r="J118" s="221">
        <f>SUM(F118:I118)</f>
        <v>21005</v>
      </c>
      <c r="K118" s="48"/>
    </row>
    <row r="119" spans="4:11" ht="15.75" thickTop="1">
      <c r="D119" s="48"/>
      <c r="E119" s="48"/>
      <c r="F119" s="223"/>
      <c r="H119" s="128"/>
      <c r="J119" s="217"/>
      <c r="K119" s="48"/>
    </row>
    <row r="120" spans="1:11" ht="15">
      <c r="A120" s="187" t="s">
        <v>335</v>
      </c>
      <c r="F120" s="223"/>
      <c r="H120" s="128"/>
      <c r="J120" s="217"/>
      <c r="K120" s="48"/>
    </row>
    <row r="121" spans="1:11" ht="16.5" thickBot="1">
      <c r="A121" s="187" t="s">
        <v>419</v>
      </c>
      <c r="B121" s="187"/>
      <c r="C121" s="219">
        <v>2904</v>
      </c>
      <c r="D121" s="219">
        <v>0</v>
      </c>
      <c r="E121" s="219">
        <v>0</v>
      </c>
      <c r="F121" s="220">
        <f>SUM(C121:E121)</f>
        <v>2904</v>
      </c>
      <c r="G121" s="187"/>
      <c r="H121" s="204"/>
      <c r="I121" s="187"/>
      <c r="J121" s="221">
        <f>SUM(F121:I121)</f>
        <v>2904</v>
      </c>
      <c r="K121" s="48"/>
    </row>
    <row r="122" spans="1:11" ht="16.5" thickTop="1">
      <c r="A122" s="187"/>
      <c r="B122" s="187"/>
      <c r="C122" s="188"/>
      <c r="D122" s="188"/>
      <c r="E122" s="188"/>
      <c r="F122" s="204"/>
      <c r="G122" s="187"/>
      <c r="H122" s="204"/>
      <c r="I122" s="187"/>
      <c r="J122" s="205"/>
      <c r="K122" s="48"/>
    </row>
    <row r="123" spans="1:11" ht="16.5" thickBot="1">
      <c r="A123" s="187"/>
      <c r="B123" s="187"/>
      <c r="C123" s="188"/>
      <c r="D123" s="188"/>
      <c r="E123" s="188"/>
      <c r="F123" s="204"/>
      <c r="G123" s="187"/>
      <c r="H123" s="204"/>
      <c r="I123" s="187"/>
      <c r="J123" s="205"/>
      <c r="K123" s="48"/>
    </row>
    <row r="124" spans="1:11" ht="15.75">
      <c r="A124" s="201" t="s">
        <v>338</v>
      </c>
      <c r="B124" s="187"/>
      <c r="C124" s="202"/>
      <c r="D124" s="192"/>
      <c r="E124" s="192"/>
      <c r="F124" s="189"/>
      <c r="G124" s="190"/>
      <c r="H124" s="204"/>
      <c r="I124" s="191"/>
      <c r="J124" s="226"/>
      <c r="K124" s="48"/>
    </row>
    <row r="125" spans="1:11" ht="15.75">
      <c r="A125" s="192"/>
      <c r="B125" s="187"/>
      <c r="C125" s="202"/>
      <c r="D125" s="192"/>
      <c r="E125" s="192"/>
      <c r="F125" s="189"/>
      <c r="G125" s="190"/>
      <c r="H125" s="204"/>
      <c r="I125" s="191"/>
      <c r="J125" s="203"/>
      <c r="K125" s="48"/>
    </row>
    <row r="126" spans="1:10" ht="15.75">
      <c r="A126" s="192" t="s">
        <v>324</v>
      </c>
      <c r="B126" s="187"/>
      <c r="C126" s="188"/>
      <c r="D126" s="188"/>
      <c r="E126" s="188"/>
      <c r="F126" s="204"/>
      <c r="G126" s="191"/>
      <c r="H126" s="204"/>
      <c r="I126" s="191"/>
      <c r="J126" s="203"/>
    </row>
    <row r="127" spans="1:10" ht="15.75">
      <c r="A127" s="187" t="s">
        <v>325</v>
      </c>
      <c r="B127" s="187"/>
      <c r="C127" s="188">
        <v>480000</v>
      </c>
      <c r="D127" s="188">
        <v>0</v>
      </c>
      <c r="E127" s="188">
        <v>0</v>
      </c>
      <c r="F127" s="204">
        <f>SUM(C127:E127)</f>
        <v>480000</v>
      </c>
      <c r="G127" s="191"/>
      <c r="H127" s="273"/>
      <c r="I127" s="191"/>
      <c r="J127" s="205">
        <f>SUM(F127:I127)</f>
        <v>480000</v>
      </c>
    </row>
    <row r="128" spans="1:10" s="187" customFormat="1" ht="15.75">
      <c r="A128" s="187" t="s">
        <v>326</v>
      </c>
      <c r="C128" s="188">
        <v>0</v>
      </c>
      <c r="D128" s="188">
        <v>0</v>
      </c>
      <c r="E128" s="188">
        <v>0</v>
      </c>
      <c r="F128" s="204">
        <f>SUM(C128:E128)</f>
        <v>0</v>
      </c>
      <c r="G128" s="191"/>
      <c r="H128" s="209"/>
      <c r="I128" s="191"/>
      <c r="J128" s="205">
        <f>SUM(F128:I128)</f>
        <v>0</v>
      </c>
    </row>
    <row r="129" spans="1:10" ht="15.75">
      <c r="A129" s="187" t="s">
        <v>336</v>
      </c>
      <c r="B129" s="187"/>
      <c r="C129" s="188"/>
      <c r="D129" s="188"/>
      <c r="E129" s="188"/>
      <c r="F129" s="204"/>
      <c r="G129" s="191"/>
      <c r="H129" s="209"/>
      <c r="I129" s="191"/>
      <c r="J129" s="205"/>
    </row>
    <row r="130" spans="1:10" s="187" customFormat="1" ht="15.75" customHeight="1">
      <c r="A130" s="187" t="s">
        <v>337</v>
      </c>
      <c r="C130" s="188">
        <v>0</v>
      </c>
      <c r="D130" s="188">
        <v>0</v>
      </c>
      <c r="E130" s="188">
        <v>0</v>
      </c>
      <c r="F130" s="204">
        <f>SUM(C130:E130)</f>
        <v>0</v>
      </c>
      <c r="G130" s="191"/>
      <c r="H130" s="209"/>
      <c r="I130" s="191"/>
      <c r="J130" s="205">
        <f>SUM(F130:I130)</f>
        <v>0</v>
      </c>
    </row>
    <row r="131" spans="1:10" s="187" customFormat="1" ht="15.75" customHeight="1">
      <c r="A131" s="187" t="s">
        <v>327</v>
      </c>
      <c r="C131" s="188">
        <v>0</v>
      </c>
      <c r="D131" s="188">
        <v>0</v>
      </c>
      <c r="E131" s="188">
        <v>0</v>
      </c>
      <c r="F131" s="204">
        <f>SUM(C131:E131)</f>
        <v>0</v>
      </c>
      <c r="G131" s="191"/>
      <c r="H131" s="209"/>
      <c r="I131" s="191"/>
      <c r="J131" s="205">
        <f>SUM(F131:I131)</f>
        <v>0</v>
      </c>
    </row>
    <row r="132" spans="1:11" s="187" customFormat="1" ht="15.75" customHeight="1">
      <c r="A132" s="187" t="s">
        <v>333</v>
      </c>
      <c r="C132" s="188">
        <v>0</v>
      </c>
      <c r="D132" s="188">
        <v>0</v>
      </c>
      <c r="E132" s="188">
        <v>0</v>
      </c>
      <c r="F132" s="207">
        <f>SUM(C132:E132)</f>
        <v>0</v>
      </c>
      <c r="G132" s="191"/>
      <c r="H132" s="209"/>
      <c r="I132" s="191"/>
      <c r="J132" s="205">
        <f>SUM(F132:I132)</f>
        <v>0</v>
      </c>
      <c r="K132" s="188"/>
    </row>
    <row r="133" spans="3:11" s="187" customFormat="1" ht="15.75" customHeight="1">
      <c r="C133" s="208"/>
      <c r="D133" s="208"/>
      <c r="E133" s="208"/>
      <c r="F133" s="209"/>
      <c r="G133" s="191"/>
      <c r="H133" s="209"/>
      <c r="I133" s="191"/>
      <c r="J133" s="210"/>
      <c r="K133" s="188"/>
    </row>
    <row r="134" spans="1:11" s="187" customFormat="1" ht="15.75" customHeight="1">
      <c r="A134" s="187" t="s">
        <v>329</v>
      </c>
      <c r="C134" s="211">
        <f>SUM(C127:C133)</f>
        <v>480000</v>
      </c>
      <c r="D134" s="211">
        <f>SUM(D127:D133)</f>
        <v>0</v>
      </c>
      <c r="E134" s="228">
        <f>SUM(E127:E133)</f>
        <v>0</v>
      </c>
      <c r="F134" s="212">
        <f>SUM(F127:F133)</f>
        <v>480000</v>
      </c>
      <c r="G134" s="191"/>
      <c r="H134" s="209"/>
      <c r="I134" s="191"/>
      <c r="J134" s="213">
        <f>SUM(J127:J133)</f>
        <v>480000</v>
      </c>
      <c r="K134" s="188"/>
    </row>
    <row r="135" spans="3:11" s="187" customFormat="1" ht="15.75" customHeight="1">
      <c r="C135" s="188"/>
      <c r="D135" s="188"/>
      <c r="E135" s="188"/>
      <c r="F135" s="209"/>
      <c r="G135" s="191"/>
      <c r="H135" s="209"/>
      <c r="I135" s="191"/>
      <c r="J135" s="205"/>
      <c r="K135" s="188"/>
    </row>
    <row r="136" spans="1:11" s="187" customFormat="1" ht="15.75" customHeight="1">
      <c r="A136" s="192" t="s">
        <v>330</v>
      </c>
      <c r="C136" s="188"/>
      <c r="D136" s="188"/>
      <c r="E136" s="188"/>
      <c r="F136" s="209"/>
      <c r="G136" s="191"/>
      <c r="H136" s="209"/>
      <c r="I136" s="191"/>
      <c r="J136" s="205"/>
      <c r="K136" s="188"/>
    </row>
    <row r="137" spans="1:11" s="187" customFormat="1" ht="15.75" customHeight="1">
      <c r="A137" s="187" t="s">
        <v>325</v>
      </c>
      <c r="C137" s="188">
        <v>284800</v>
      </c>
      <c r="D137" s="188">
        <v>0</v>
      </c>
      <c r="E137" s="188">
        <v>0</v>
      </c>
      <c r="F137" s="204">
        <f>SUM(C137:E137)</f>
        <v>284800</v>
      </c>
      <c r="G137" s="191"/>
      <c r="H137" s="209"/>
      <c r="I137" s="191"/>
      <c r="J137" s="205">
        <f>SUM(F137:I137)</f>
        <v>284800</v>
      </c>
      <c r="K137" s="188"/>
    </row>
    <row r="138" spans="1:11" s="187" customFormat="1" ht="15.75" customHeight="1">
      <c r="A138" s="187" t="s">
        <v>331</v>
      </c>
      <c r="C138" s="188">
        <v>45599</v>
      </c>
      <c r="D138" s="188">
        <v>0</v>
      </c>
      <c r="E138" s="188">
        <v>0</v>
      </c>
      <c r="F138" s="204">
        <f>SUM(C138:E138)</f>
        <v>45599</v>
      </c>
      <c r="G138" s="191"/>
      <c r="H138" s="209"/>
      <c r="I138" s="191"/>
      <c r="J138" s="205">
        <f>SUM(F138:I138)</f>
        <v>45599</v>
      </c>
      <c r="K138" s="188"/>
    </row>
    <row r="139" spans="1:11" s="187" customFormat="1" ht="15.75" customHeight="1">
      <c r="A139" s="187" t="s">
        <v>336</v>
      </c>
      <c r="C139" s="188"/>
      <c r="D139" s="188"/>
      <c r="E139" s="188"/>
      <c r="F139" s="204"/>
      <c r="G139" s="191"/>
      <c r="H139" s="209"/>
      <c r="I139" s="191"/>
      <c r="J139" s="205"/>
      <c r="K139" s="188"/>
    </row>
    <row r="140" spans="1:11" s="187" customFormat="1" ht="15.75" customHeight="1">
      <c r="A140" s="187" t="s">
        <v>337</v>
      </c>
      <c r="C140" s="188">
        <v>0</v>
      </c>
      <c r="D140" s="188">
        <v>0</v>
      </c>
      <c r="E140" s="188">
        <v>0</v>
      </c>
      <c r="F140" s="204">
        <f>SUM(C140:E140)</f>
        <v>0</v>
      </c>
      <c r="G140" s="191"/>
      <c r="H140" s="209"/>
      <c r="I140" s="191"/>
      <c r="J140" s="205">
        <f>SUM(F140:I140)</f>
        <v>0</v>
      </c>
      <c r="K140" s="188"/>
    </row>
    <row r="141" spans="1:11" s="187" customFormat="1" ht="15.75" customHeight="1">
      <c r="A141" s="187" t="s">
        <v>332</v>
      </c>
      <c r="C141" s="188">
        <v>0</v>
      </c>
      <c r="D141" s="188">
        <v>0</v>
      </c>
      <c r="E141" s="188">
        <v>0</v>
      </c>
      <c r="F141" s="204">
        <f>SUM(C141:E141)</f>
        <v>0</v>
      </c>
      <c r="G141" s="191"/>
      <c r="H141" s="209"/>
      <c r="I141" s="191"/>
      <c r="J141" s="205">
        <f>SUM(F141:I141)</f>
        <v>0</v>
      </c>
      <c r="K141" s="188"/>
    </row>
    <row r="142" spans="1:11" s="187" customFormat="1" ht="15.75" customHeight="1">
      <c r="A142" s="187" t="s">
        <v>333</v>
      </c>
      <c r="C142" s="188">
        <v>0</v>
      </c>
      <c r="D142" s="188">
        <v>0</v>
      </c>
      <c r="E142" s="188">
        <v>0</v>
      </c>
      <c r="F142" s="207">
        <f>SUM(C142:E142)</f>
        <v>0</v>
      </c>
      <c r="G142" s="191"/>
      <c r="H142" s="209"/>
      <c r="I142" s="191"/>
      <c r="J142" s="205">
        <f>SUM(F142:I142)</f>
        <v>0</v>
      </c>
      <c r="K142" s="188"/>
    </row>
    <row r="143" spans="2:11" s="187" customFormat="1" ht="15.75" customHeight="1">
      <c r="B143"/>
      <c r="C143" s="208"/>
      <c r="D143" s="208"/>
      <c r="E143" s="208"/>
      <c r="F143" s="48"/>
      <c r="G143" s="48"/>
      <c r="H143" s="128"/>
      <c r="I143" s="48"/>
      <c r="J143" s="214"/>
      <c r="K143" s="188"/>
    </row>
    <row r="144" spans="1:11" s="187" customFormat="1" ht="15.75" customHeight="1">
      <c r="A144" s="187" t="s">
        <v>329</v>
      </c>
      <c r="B144"/>
      <c r="C144" s="211">
        <f>SUM(C137:C143)</f>
        <v>330399</v>
      </c>
      <c r="D144" s="211">
        <f>SUM(D137:D143)</f>
        <v>0</v>
      </c>
      <c r="E144" s="228">
        <f>SUM(E137:E143)</f>
        <v>0</v>
      </c>
      <c r="F144" s="215">
        <f>SUM(F137:F143)</f>
        <v>330399</v>
      </c>
      <c r="G144" s="48"/>
      <c r="H144" s="272"/>
      <c r="I144" s="48"/>
      <c r="J144" s="213">
        <f>SUM(J137:J143)</f>
        <v>330399</v>
      </c>
      <c r="K144" s="188"/>
    </row>
    <row r="145" spans="1:11" ht="15">
      <c r="A145" s="187"/>
      <c r="C145" s="188"/>
      <c r="D145" s="188"/>
      <c r="E145" s="188"/>
      <c r="F145" s="216"/>
      <c r="G145" s="48"/>
      <c r="H145" s="128"/>
      <c r="I145" s="48"/>
      <c r="J145" s="217"/>
      <c r="K145" s="48"/>
    </row>
    <row r="146" spans="1:11" ht="15.75">
      <c r="A146" s="192" t="s">
        <v>334</v>
      </c>
      <c r="C146" s="188"/>
      <c r="D146" s="188"/>
      <c r="E146" s="188"/>
      <c r="F146" s="216"/>
      <c r="G146" s="48"/>
      <c r="H146" s="128"/>
      <c r="I146" s="48"/>
      <c r="J146" s="217"/>
      <c r="K146" s="48"/>
    </row>
    <row r="147" spans="1:11" ht="16.5" thickBot="1">
      <c r="A147" s="218">
        <v>2004</v>
      </c>
      <c r="C147" s="219">
        <f>C134-C144</f>
        <v>149601</v>
      </c>
      <c r="D147" s="219">
        <f>D134-D144</f>
        <v>0</v>
      </c>
      <c r="E147" s="219">
        <f>E134-E144</f>
        <v>0</v>
      </c>
      <c r="F147" s="220">
        <f>SUM(C147:E147)</f>
        <v>149601</v>
      </c>
      <c r="G147" s="48"/>
      <c r="H147" s="272"/>
      <c r="I147" s="48"/>
      <c r="J147" s="221">
        <f>SUM(F147:I147)</f>
        <v>149601</v>
      </c>
      <c r="K147" s="48"/>
    </row>
    <row r="148" spans="1:11" ht="15.75" thickTop="1">
      <c r="A148" s="222"/>
      <c r="C148" s="188"/>
      <c r="D148" s="188"/>
      <c r="E148" s="188"/>
      <c r="F148" s="216"/>
      <c r="G148" s="48"/>
      <c r="H148" s="128"/>
      <c r="I148" s="48"/>
      <c r="J148" s="217"/>
      <c r="K148" s="48"/>
    </row>
    <row r="149" spans="1:11" ht="16.5" thickBot="1">
      <c r="A149" s="218">
        <v>2003</v>
      </c>
      <c r="C149" s="219">
        <f>+C127-C137</f>
        <v>195200</v>
      </c>
      <c r="D149" s="219">
        <f>+D127-D137</f>
        <v>0</v>
      </c>
      <c r="E149" s="219">
        <f>+E127-E137</f>
        <v>0</v>
      </c>
      <c r="F149" s="220">
        <f>SUM(C149:E149)</f>
        <v>195200</v>
      </c>
      <c r="G149" s="48"/>
      <c r="H149" s="272"/>
      <c r="I149" s="48"/>
      <c r="J149" s="221">
        <f>SUM(F149:I149)</f>
        <v>195200</v>
      </c>
      <c r="K149" s="48"/>
    </row>
    <row r="150" spans="4:11" ht="15.75" thickTop="1">
      <c r="D150" s="48"/>
      <c r="E150" s="48"/>
      <c r="F150" s="223"/>
      <c r="H150" s="128"/>
      <c r="J150" s="217"/>
      <c r="K150" s="48"/>
    </row>
    <row r="151" spans="1:11" ht="15">
      <c r="A151" s="187" t="s">
        <v>335</v>
      </c>
      <c r="F151" s="223"/>
      <c r="H151" s="128"/>
      <c r="J151" s="217"/>
      <c r="K151" s="48"/>
    </row>
    <row r="152" spans="1:10" ht="16.5" thickBot="1">
      <c r="A152" s="187" t="s">
        <v>419</v>
      </c>
      <c r="B152" s="187"/>
      <c r="C152" s="219">
        <v>76800</v>
      </c>
      <c r="D152" s="219">
        <v>0</v>
      </c>
      <c r="E152" s="219">
        <v>0</v>
      </c>
      <c r="F152" s="220">
        <f>SUM(C152:E152)</f>
        <v>76800</v>
      </c>
      <c r="G152" s="187"/>
      <c r="H152" s="204"/>
      <c r="I152" s="187"/>
      <c r="J152" s="221">
        <f>SUM(F152:I152)</f>
        <v>76800</v>
      </c>
    </row>
    <row r="153" spans="8:10" ht="14.25" thickBot="1" thickTop="1">
      <c r="H153" s="128"/>
      <c r="J153" s="224"/>
    </row>
    <row r="154" spans="1:10" s="187" customFormat="1" ht="15.75" thickBot="1">
      <c r="A154"/>
      <c r="B154"/>
      <c r="C154" s="48"/>
      <c r="D154"/>
      <c r="E154"/>
      <c r="F154"/>
      <c r="G154"/>
      <c r="H154" s="128"/>
      <c r="I154"/>
      <c r="J154" s="9"/>
    </row>
    <row r="155" spans="1:10" ht="15.75">
      <c r="A155" s="201" t="s">
        <v>423</v>
      </c>
      <c r="B155" s="187"/>
      <c r="C155" s="202"/>
      <c r="D155" s="192"/>
      <c r="E155" s="192"/>
      <c r="F155" s="189"/>
      <c r="G155" s="190"/>
      <c r="H155" s="204"/>
      <c r="I155" s="191"/>
      <c r="J155" s="226"/>
    </row>
    <row r="156" spans="1:10" ht="15.75">
      <c r="A156" s="192"/>
      <c r="B156" s="187"/>
      <c r="C156" s="202"/>
      <c r="D156" s="192"/>
      <c r="E156" s="192"/>
      <c r="F156" s="189"/>
      <c r="G156" s="190"/>
      <c r="H156" s="204"/>
      <c r="I156" s="191"/>
      <c r="J156" s="203"/>
    </row>
    <row r="157" spans="1:10" s="187" customFormat="1" ht="15.75" customHeight="1">
      <c r="A157" s="192" t="s">
        <v>324</v>
      </c>
      <c r="C157" s="188"/>
      <c r="D157" s="188"/>
      <c r="E157" s="188"/>
      <c r="F157" s="204"/>
      <c r="G157" s="191"/>
      <c r="H157" s="204"/>
      <c r="I157" s="191"/>
      <c r="J157" s="203"/>
    </row>
    <row r="158" spans="1:10" s="187" customFormat="1" ht="15.75" customHeight="1">
      <c r="A158" s="187" t="s">
        <v>325</v>
      </c>
      <c r="C158" s="188">
        <v>110309</v>
      </c>
      <c r="D158" s="188">
        <v>20302.17</v>
      </c>
      <c r="E158" s="188">
        <v>0</v>
      </c>
      <c r="F158" s="204">
        <v>130611.17</v>
      </c>
      <c r="G158" s="191"/>
      <c r="H158" s="273"/>
      <c r="I158" s="191"/>
      <c r="J158" s="205">
        <f>SUM(F158:I158)</f>
        <v>130611.17</v>
      </c>
    </row>
    <row r="159" spans="1:11" s="187" customFormat="1" ht="15.75" customHeight="1">
      <c r="A159" s="187" t="s">
        <v>326</v>
      </c>
      <c r="C159" s="188">
        <v>11886</v>
      </c>
      <c r="D159" s="188">
        <v>15962.17</v>
      </c>
      <c r="E159" s="188">
        <v>0</v>
      </c>
      <c r="F159" s="204">
        <f>SUM(C159:E159)</f>
        <v>27848.17</v>
      </c>
      <c r="G159" s="191"/>
      <c r="H159" s="209"/>
      <c r="I159" s="191"/>
      <c r="J159" s="205">
        <f>SUM(F159:I159)</f>
        <v>27848.17</v>
      </c>
      <c r="K159" s="188"/>
    </row>
    <row r="160" spans="1:11" s="187" customFormat="1" ht="15.75" customHeight="1">
      <c r="A160" s="187" t="s">
        <v>327</v>
      </c>
      <c r="C160" s="188">
        <v>0</v>
      </c>
      <c r="D160" s="188">
        <v>0</v>
      </c>
      <c r="E160" s="188">
        <v>0</v>
      </c>
      <c r="F160" s="204">
        <f>SUM(C160:E160)</f>
        <v>0</v>
      </c>
      <c r="G160" s="191"/>
      <c r="H160" s="209"/>
      <c r="I160" s="191"/>
      <c r="J160" s="205">
        <f>SUM(F160:I160)</f>
        <v>0</v>
      </c>
      <c r="K160" s="188"/>
    </row>
    <row r="161" spans="1:11" s="187" customFormat="1" ht="15.75" customHeight="1">
      <c r="A161" s="187" t="s">
        <v>339</v>
      </c>
      <c r="C161" s="188">
        <v>0</v>
      </c>
      <c r="D161" s="188">
        <v>0</v>
      </c>
      <c r="E161" s="188">
        <v>0</v>
      </c>
      <c r="F161" s="207">
        <f>SUM(C161:E161)</f>
        <v>0</v>
      </c>
      <c r="G161" s="191"/>
      <c r="H161" s="209"/>
      <c r="I161" s="191"/>
      <c r="J161" s="205">
        <f>SUM(F161:I161)</f>
        <v>0</v>
      </c>
      <c r="K161" s="188"/>
    </row>
    <row r="162" spans="3:11" s="187" customFormat="1" ht="15.75" customHeight="1">
      <c r="C162" s="208"/>
      <c r="D162" s="208"/>
      <c r="E162" s="208"/>
      <c r="F162" s="209"/>
      <c r="G162" s="191"/>
      <c r="H162" s="209"/>
      <c r="I162" s="191"/>
      <c r="J162" s="210"/>
      <c r="K162" s="188"/>
    </row>
    <row r="163" spans="1:11" s="187" customFormat="1" ht="15.75" customHeight="1">
      <c r="A163" s="187" t="s">
        <v>329</v>
      </c>
      <c r="C163" s="211">
        <f>SUM(C158:C162)</f>
        <v>122195</v>
      </c>
      <c r="D163" s="211">
        <f>SUM(D158:D162)</f>
        <v>36264.34</v>
      </c>
      <c r="E163" s="211">
        <f>SUM(E158:E162)</f>
        <v>0</v>
      </c>
      <c r="F163" s="212">
        <f>SUM(F158:F162)</f>
        <v>158459.34</v>
      </c>
      <c r="G163" s="191"/>
      <c r="H163" s="209"/>
      <c r="I163" s="191"/>
      <c r="J163" s="213">
        <f>SUM(J158:J162)</f>
        <v>158459.34</v>
      </c>
      <c r="K163" s="188"/>
    </row>
    <row r="164" spans="3:11" s="187" customFormat="1" ht="15.75" customHeight="1">
      <c r="C164" s="188"/>
      <c r="D164" s="188"/>
      <c r="E164" s="188"/>
      <c r="F164" s="209"/>
      <c r="G164" s="191"/>
      <c r="H164" s="209"/>
      <c r="I164" s="191"/>
      <c r="J164" s="205"/>
      <c r="K164" s="188"/>
    </row>
    <row r="165" spans="1:11" s="187" customFormat="1" ht="15.75" customHeight="1">
      <c r="A165" s="192" t="s">
        <v>330</v>
      </c>
      <c r="C165" s="188"/>
      <c r="D165" s="188"/>
      <c r="E165" s="188"/>
      <c r="F165" s="209"/>
      <c r="G165" s="191"/>
      <c r="H165" s="209"/>
      <c r="I165" s="191"/>
      <c r="J165" s="205"/>
      <c r="K165" s="188"/>
    </row>
    <row r="166" spans="1:11" s="187" customFormat="1" ht="15.75" customHeight="1">
      <c r="A166" s="187" t="s">
        <v>325</v>
      </c>
      <c r="C166" s="188">
        <v>49273</v>
      </c>
      <c r="D166" s="188">
        <v>3472</v>
      </c>
      <c r="E166" s="188">
        <v>0</v>
      </c>
      <c r="F166" s="204">
        <f>SUM(C166:E166)</f>
        <v>52745</v>
      </c>
      <c r="G166" s="191"/>
      <c r="H166" s="209"/>
      <c r="I166" s="191"/>
      <c r="J166" s="205">
        <f>SUM(F166:I166)</f>
        <v>52745</v>
      </c>
      <c r="K166" s="188"/>
    </row>
    <row r="167" spans="1:11" s="187" customFormat="1" ht="15.75" customHeight="1">
      <c r="A167" s="187" t="s">
        <v>331</v>
      </c>
      <c r="C167" s="188">
        <v>16974</v>
      </c>
      <c r="D167" s="188">
        <v>2450.14</v>
      </c>
      <c r="E167" s="188">
        <v>0</v>
      </c>
      <c r="F167" s="204">
        <f>SUM(C167:E167)</f>
        <v>19424.14</v>
      </c>
      <c r="G167" s="191"/>
      <c r="H167" s="209"/>
      <c r="I167" s="191"/>
      <c r="J167" s="205">
        <f>SUM(F167:I167)</f>
        <v>19424.14</v>
      </c>
      <c r="K167" s="188"/>
    </row>
    <row r="168" spans="1:11" s="187" customFormat="1" ht="15.75" customHeight="1">
      <c r="A168" s="187" t="s">
        <v>332</v>
      </c>
      <c r="C168" s="188">
        <v>0</v>
      </c>
      <c r="D168" s="188">
        <v>0</v>
      </c>
      <c r="E168" s="188">
        <v>0</v>
      </c>
      <c r="F168" s="204">
        <f>SUM(C168:E168)</f>
        <v>0</v>
      </c>
      <c r="G168" s="191"/>
      <c r="H168" s="209"/>
      <c r="I168" s="191"/>
      <c r="J168" s="205">
        <f>SUM(F168:I168)</f>
        <v>0</v>
      </c>
      <c r="K168" s="188"/>
    </row>
    <row r="169" spans="1:11" s="187" customFormat="1" ht="15.75" customHeight="1">
      <c r="A169" s="187" t="s">
        <v>333</v>
      </c>
      <c r="C169" s="188">
        <v>0</v>
      </c>
      <c r="D169" s="188">
        <v>0</v>
      </c>
      <c r="E169" s="188">
        <v>0</v>
      </c>
      <c r="F169" s="207">
        <f>SUM(C169:E169)</f>
        <v>0</v>
      </c>
      <c r="G169" s="191"/>
      <c r="H169" s="209"/>
      <c r="I169" s="191"/>
      <c r="J169" s="205">
        <f>SUM(F169:I169)</f>
        <v>0</v>
      </c>
      <c r="K169" s="188"/>
    </row>
    <row r="170" spans="2:11" s="187" customFormat="1" ht="15.75" customHeight="1">
      <c r="B170"/>
      <c r="C170" s="208"/>
      <c r="D170" s="208"/>
      <c r="E170" s="208"/>
      <c r="F170" s="48"/>
      <c r="G170" s="48"/>
      <c r="H170" s="128"/>
      <c r="I170" s="48"/>
      <c r="J170" s="214"/>
      <c r="K170" s="188"/>
    </row>
    <row r="171" spans="1:11" s="187" customFormat="1" ht="15.75" customHeight="1">
      <c r="A171" s="187" t="s">
        <v>329</v>
      </c>
      <c r="B171"/>
      <c r="C171" s="211">
        <f>SUM(C166:C170)</f>
        <v>66247</v>
      </c>
      <c r="D171" s="211">
        <f>SUM(D166:D170)</f>
        <v>5922.139999999999</v>
      </c>
      <c r="E171" s="211">
        <f>SUM(E166:E170)</f>
        <v>0</v>
      </c>
      <c r="F171" s="215">
        <f>SUM(F166:F170)</f>
        <v>72169.14</v>
      </c>
      <c r="G171" s="48"/>
      <c r="H171" s="128"/>
      <c r="I171" s="48"/>
      <c r="J171" s="213">
        <f>SUM(J166:J170)</f>
        <v>72169.14</v>
      </c>
      <c r="K171" s="188"/>
    </row>
    <row r="172" spans="2:11" s="187" customFormat="1" ht="15.75" customHeight="1">
      <c r="B172"/>
      <c r="C172" s="188"/>
      <c r="D172" s="188"/>
      <c r="E172" s="188"/>
      <c r="F172" s="216"/>
      <c r="G172" s="48"/>
      <c r="H172" s="128"/>
      <c r="I172" s="48"/>
      <c r="J172" s="217"/>
      <c r="K172" s="188"/>
    </row>
    <row r="173" spans="1:11" s="187" customFormat="1" ht="15.75" customHeight="1">
      <c r="A173" s="192" t="s">
        <v>334</v>
      </c>
      <c r="B173"/>
      <c r="C173" s="188"/>
      <c r="D173" s="188"/>
      <c r="E173" s="188"/>
      <c r="F173" s="216"/>
      <c r="G173" s="48"/>
      <c r="H173" s="128"/>
      <c r="I173" s="48"/>
      <c r="J173" s="217"/>
      <c r="K173" s="188"/>
    </row>
    <row r="174" spans="1:11" s="187" customFormat="1" ht="15.75" customHeight="1" thickBot="1">
      <c r="A174" s="218">
        <v>2004</v>
      </c>
      <c r="B174"/>
      <c r="C174" s="219">
        <f>C163-C171</f>
        <v>55948</v>
      </c>
      <c r="D174" s="219">
        <f>D163-D171</f>
        <v>30342.199999999997</v>
      </c>
      <c r="E174" s="219">
        <f>E163-E171</f>
        <v>0</v>
      </c>
      <c r="F174" s="220">
        <f>SUM(C174:E174)</f>
        <v>86290.2</v>
      </c>
      <c r="G174" s="48"/>
      <c r="H174" s="128"/>
      <c r="I174" s="48"/>
      <c r="J174" s="221">
        <f>SUM(F174:I174)</f>
        <v>86290.2</v>
      </c>
      <c r="K174" s="188"/>
    </row>
    <row r="175" spans="1:11" s="187" customFormat="1" ht="15.75" customHeight="1" thickTop="1">
      <c r="A175" s="222"/>
      <c r="B175"/>
      <c r="C175" s="188"/>
      <c r="D175" s="188"/>
      <c r="E175" s="188"/>
      <c r="F175" s="216"/>
      <c r="G175" s="48"/>
      <c r="H175" s="128"/>
      <c r="I175" s="48"/>
      <c r="J175" s="217"/>
      <c r="K175" s="188"/>
    </row>
    <row r="176" spans="1:11" ht="16.5" thickBot="1">
      <c r="A176" s="218">
        <v>2003</v>
      </c>
      <c r="C176" s="219">
        <f>+C158-C166</f>
        <v>61036</v>
      </c>
      <c r="D176" s="219">
        <f>+D158-D166</f>
        <v>16830.17</v>
      </c>
      <c r="E176" s="219">
        <f>+E158-E166</f>
        <v>0</v>
      </c>
      <c r="F176" s="220">
        <f>SUM(C176:E176)</f>
        <v>77866.17</v>
      </c>
      <c r="G176" s="48"/>
      <c r="H176" s="128"/>
      <c r="I176" s="48"/>
      <c r="J176" s="221">
        <f>SUM(F176:I176)</f>
        <v>77866.17</v>
      </c>
      <c r="K176" s="48"/>
    </row>
    <row r="177" spans="4:11" ht="15.75" thickTop="1">
      <c r="D177" s="48"/>
      <c r="E177" s="48"/>
      <c r="F177" s="223"/>
      <c r="H177" s="128"/>
      <c r="J177" s="217"/>
      <c r="K177" s="233"/>
    </row>
    <row r="178" spans="1:11" ht="15">
      <c r="A178" s="187" t="s">
        <v>335</v>
      </c>
      <c r="F178" s="223"/>
      <c r="H178" s="128"/>
      <c r="J178" s="217"/>
      <c r="K178" s="48"/>
    </row>
    <row r="179" spans="1:11" ht="16.5" thickBot="1">
      <c r="A179" s="187" t="s">
        <v>419</v>
      </c>
      <c r="B179" s="187"/>
      <c r="C179" s="219">
        <v>8788</v>
      </c>
      <c r="D179" s="219">
        <v>868</v>
      </c>
      <c r="E179" s="219">
        <v>0</v>
      </c>
      <c r="F179" s="220">
        <f>SUM(C179:E179)</f>
        <v>9656</v>
      </c>
      <c r="G179" s="187"/>
      <c r="H179" s="204"/>
      <c r="I179" s="187"/>
      <c r="J179" s="221">
        <f>SUM(F179:I179)</f>
        <v>9656</v>
      </c>
      <c r="K179" s="48"/>
    </row>
    <row r="180" spans="1:11" ht="16.5" thickBot="1" thickTop="1">
      <c r="A180" s="187"/>
      <c r="F180" s="223"/>
      <c r="H180" s="128"/>
      <c r="J180" s="224"/>
      <c r="K180" s="233"/>
    </row>
    <row r="181" spans="1:11" s="239" customFormat="1" ht="13.5" thickBot="1">
      <c r="A181"/>
      <c r="B181"/>
      <c r="C181" s="48"/>
      <c r="D181"/>
      <c r="E181"/>
      <c r="F181"/>
      <c r="G181"/>
      <c r="H181" s="128"/>
      <c r="I181"/>
      <c r="J181" s="9"/>
      <c r="K181" s="238"/>
    </row>
    <row r="182" spans="1:11" s="239" customFormat="1" ht="15.75">
      <c r="A182" s="201" t="s">
        <v>424</v>
      </c>
      <c r="B182" s="187"/>
      <c r="C182" s="202"/>
      <c r="D182" s="192"/>
      <c r="E182" s="192"/>
      <c r="F182" s="189"/>
      <c r="G182" s="190"/>
      <c r="H182" s="204"/>
      <c r="I182" s="191"/>
      <c r="J182" s="226"/>
      <c r="K182"/>
    </row>
    <row r="183" spans="1:10" ht="15.75">
      <c r="A183" s="192"/>
      <c r="B183" s="187"/>
      <c r="C183" s="202"/>
      <c r="D183" s="192"/>
      <c r="E183" s="192"/>
      <c r="F183" s="189"/>
      <c r="G183" s="190"/>
      <c r="H183" s="204"/>
      <c r="I183" s="191"/>
      <c r="J183" s="203"/>
    </row>
    <row r="184" spans="1:10" s="187" customFormat="1" ht="15.75">
      <c r="A184" s="192" t="s">
        <v>324</v>
      </c>
      <c r="C184" s="188"/>
      <c r="D184" s="188"/>
      <c r="E184" s="188"/>
      <c r="F184" s="204"/>
      <c r="G184" s="191"/>
      <c r="H184" s="204"/>
      <c r="I184" s="191"/>
      <c r="J184" s="203"/>
    </row>
    <row r="185" spans="1:11" ht="15.75">
      <c r="A185" s="187" t="s">
        <v>325</v>
      </c>
      <c r="B185" s="187"/>
      <c r="C185" s="188">
        <v>41438</v>
      </c>
      <c r="D185" s="188">
        <v>0</v>
      </c>
      <c r="E185" s="188">
        <v>0</v>
      </c>
      <c r="F185" s="204">
        <v>41438</v>
      </c>
      <c r="G185" s="191"/>
      <c r="H185" s="273"/>
      <c r="I185" s="191"/>
      <c r="J185" s="205">
        <f>SUM(F185:I185)</f>
        <v>41438</v>
      </c>
      <c r="K185" s="187"/>
    </row>
    <row r="186" spans="1:11" ht="15.75">
      <c r="A186" s="187" t="s">
        <v>326</v>
      </c>
      <c r="B186" s="187"/>
      <c r="C186" s="188">
        <v>256187.9</v>
      </c>
      <c r="D186" s="188">
        <v>0</v>
      </c>
      <c r="E186" s="188">
        <v>0</v>
      </c>
      <c r="F186" s="204">
        <f>SUM(C186:E186)</f>
        <v>256187.9</v>
      </c>
      <c r="G186" s="191"/>
      <c r="H186" s="209"/>
      <c r="I186" s="191"/>
      <c r="J186" s="205">
        <f>SUM(F186:I186)</f>
        <v>256187.9</v>
      </c>
      <c r="K186" s="188"/>
    </row>
    <row r="187" spans="1:11" ht="15.75">
      <c r="A187" s="187" t="s">
        <v>327</v>
      </c>
      <c r="B187" s="187"/>
      <c r="C187" s="188">
        <v>0</v>
      </c>
      <c r="D187" s="188">
        <v>0</v>
      </c>
      <c r="E187" s="188">
        <v>0</v>
      </c>
      <c r="F187" s="204">
        <f>SUM(C187:E187)</f>
        <v>0</v>
      </c>
      <c r="G187" s="191"/>
      <c r="H187" s="209"/>
      <c r="I187" s="191"/>
      <c r="J187" s="205">
        <f>SUM(F187:I187)</f>
        <v>0</v>
      </c>
      <c r="K187" s="188"/>
    </row>
    <row r="188" spans="1:11" ht="15.75">
      <c r="A188" s="187" t="s">
        <v>339</v>
      </c>
      <c r="B188" s="187"/>
      <c r="C188" s="188">
        <v>0</v>
      </c>
      <c r="D188" s="188">
        <v>0</v>
      </c>
      <c r="E188" s="188">
        <v>0</v>
      </c>
      <c r="F188" s="207">
        <f>SUM(C188:E188)</f>
        <v>0</v>
      </c>
      <c r="G188" s="191"/>
      <c r="H188" s="209"/>
      <c r="I188" s="191"/>
      <c r="J188" s="205">
        <f>SUM(F188:I188)</f>
        <v>0</v>
      </c>
      <c r="K188" s="188"/>
    </row>
    <row r="189" spans="1:11" ht="15.75">
      <c r="A189" s="187"/>
      <c r="B189" s="187"/>
      <c r="C189" s="208"/>
      <c r="D189" s="208"/>
      <c r="E189" s="208"/>
      <c r="F189" s="209"/>
      <c r="G189" s="191"/>
      <c r="H189" s="209"/>
      <c r="I189" s="191"/>
      <c r="J189" s="210"/>
      <c r="K189" s="188"/>
    </row>
    <row r="190" spans="1:11" ht="15.75">
      <c r="A190" s="187" t="s">
        <v>329</v>
      </c>
      <c r="B190" s="187"/>
      <c r="C190" s="211">
        <f>SUM(C185:C189)</f>
        <v>297625.9</v>
      </c>
      <c r="D190" s="211">
        <f>SUM(D185:D189)</f>
        <v>0</v>
      </c>
      <c r="E190" s="211">
        <f>SUM(E185:E189)</f>
        <v>0</v>
      </c>
      <c r="F190" s="212">
        <f>SUM(F185:F189)</f>
        <v>297625.9</v>
      </c>
      <c r="G190" s="191"/>
      <c r="H190" s="209"/>
      <c r="I190" s="191"/>
      <c r="J190" s="213">
        <f>SUM(J185:J189)</f>
        <v>297625.9</v>
      </c>
      <c r="K190" s="188"/>
    </row>
    <row r="191" spans="1:11" ht="15.75">
      <c r="A191" s="187"/>
      <c r="B191" s="187"/>
      <c r="C191" s="188"/>
      <c r="D191" s="188"/>
      <c r="E191" s="188"/>
      <c r="F191" s="209"/>
      <c r="G191" s="191"/>
      <c r="H191" s="209"/>
      <c r="I191" s="191"/>
      <c r="J191" s="205"/>
      <c r="K191" s="188"/>
    </row>
    <row r="192" spans="1:11" ht="15.75">
      <c r="A192" s="192" t="s">
        <v>330</v>
      </c>
      <c r="B192" s="187"/>
      <c r="C192" s="188"/>
      <c r="D192" s="188"/>
      <c r="E192" s="188"/>
      <c r="F192" s="209"/>
      <c r="G192" s="191"/>
      <c r="H192" s="209"/>
      <c r="I192" s="191"/>
      <c r="J192" s="205"/>
      <c r="K192" s="188"/>
    </row>
    <row r="193" spans="1:11" ht="15.75">
      <c r="A193" s="187" t="s">
        <v>325</v>
      </c>
      <c r="B193" s="187"/>
      <c r="C193" s="188">
        <v>34951</v>
      </c>
      <c r="D193" s="188">
        <v>0</v>
      </c>
      <c r="E193" s="188">
        <v>0</v>
      </c>
      <c r="F193" s="204">
        <f>SUM(C193:E193)</f>
        <v>34951</v>
      </c>
      <c r="G193" s="191"/>
      <c r="H193" s="209"/>
      <c r="I193" s="191"/>
      <c r="J193" s="205">
        <f>SUM(F193:I193)</f>
        <v>34951</v>
      </c>
      <c r="K193" s="188"/>
    </row>
    <row r="194" spans="1:11" ht="15.75">
      <c r="A194" s="187" t="s">
        <v>331</v>
      </c>
      <c r="B194" s="187"/>
      <c r="C194" s="188">
        <v>3243.4</v>
      </c>
      <c r="D194" s="188">
        <v>0</v>
      </c>
      <c r="E194" s="188">
        <v>0</v>
      </c>
      <c r="F194" s="204">
        <f>SUM(C194:E194)</f>
        <v>3243.4</v>
      </c>
      <c r="G194" s="191"/>
      <c r="H194" s="209"/>
      <c r="I194" s="191"/>
      <c r="J194" s="205">
        <f>SUM(F194:I194)</f>
        <v>3243.4</v>
      </c>
      <c r="K194" s="188"/>
    </row>
    <row r="195" spans="1:11" ht="15.75">
      <c r="A195" s="187" t="s">
        <v>332</v>
      </c>
      <c r="B195" s="187"/>
      <c r="C195" s="188">
        <v>0</v>
      </c>
      <c r="D195" s="188">
        <v>0</v>
      </c>
      <c r="E195" s="188">
        <v>0</v>
      </c>
      <c r="F195" s="204">
        <f>SUM(C195:E195)</f>
        <v>0</v>
      </c>
      <c r="G195" s="191"/>
      <c r="H195" s="209"/>
      <c r="I195" s="191"/>
      <c r="J195" s="205">
        <f>SUM(F195:I195)</f>
        <v>0</v>
      </c>
      <c r="K195" s="188"/>
    </row>
    <row r="196" spans="1:11" ht="15.75">
      <c r="A196" s="187" t="s">
        <v>333</v>
      </c>
      <c r="B196" s="187"/>
      <c r="C196" s="188">
        <v>0</v>
      </c>
      <c r="D196" s="188">
        <v>0</v>
      </c>
      <c r="E196" s="188">
        <v>0</v>
      </c>
      <c r="F196" s="207">
        <f>SUM(C196:E196)</f>
        <v>0</v>
      </c>
      <c r="G196" s="191"/>
      <c r="H196" s="209"/>
      <c r="I196" s="191"/>
      <c r="J196" s="205">
        <f>SUM(F196:I196)</f>
        <v>0</v>
      </c>
      <c r="K196" s="188"/>
    </row>
    <row r="197" spans="1:11" ht="15">
      <c r="A197" s="187"/>
      <c r="C197" s="208"/>
      <c r="D197" s="208"/>
      <c r="E197" s="208"/>
      <c r="F197" s="48"/>
      <c r="G197" s="48"/>
      <c r="H197" s="128"/>
      <c r="I197" s="48"/>
      <c r="J197" s="214"/>
      <c r="K197" s="188"/>
    </row>
    <row r="198" spans="1:11" ht="15.75">
      <c r="A198" s="187" t="s">
        <v>329</v>
      </c>
      <c r="C198" s="211">
        <f>SUM(C193:C197)</f>
        <v>38194.4</v>
      </c>
      <c r="D198" s="211">
        <f>SUM(D193:D197)</f>
        <v>0</v>
      </c>
      <c r="E198" s="211">
        <f>SUM(E193:E197)</f>
        <v>0</v>
      </c>
      <c r="F198" s="215">
        <f>SUM(F193:F197)</f>
        <v>38194.4</v>
      </c>
      <c r="G198" s="48"/>
      <c r="H198" s="128"/>
      <c r="I198" s="48"/>
      <c r="J198" s="213">
        <f>SUM(J193:J197)</f>
        <v>38194.4</v>
      </c>
      <c r="K198" s="188"/>
    </row>
    <row r="199" spans="1:11" ht="15">
      <c r="A199" s="187"/>
      <c r="C199" s="188"/>
      <c r="D199" s="188"/>
      <c r="E199" s="188"/>
      <c r="F199" s="216"/>
      <c r="G199" s="48"/>
      <c r="H199" s="128"/>
      <c r="I199" s="48"/>
      <c r="J199" s="217"/>
      <c r="K199" s="188"/>
    </row>
    <row r="200" spans="1:11" ht="15.75">
      <c r="A200" s="192" t="s">
        <v>334</v>
      </c>
      <c r="C200" s="188"/>
      <c r="D200" s="188"/>
      <c r="E200" s="188"/>
      <c r="F200" s="216"/>
      <c r="G200" s="48"/>
      <c r="H200" s="128"/>
      <c r="I200" s="48"/>
      <c r="J200" s="217"/>
      <c r="K200" s="188"/>
    </row>
    <row r="201" spans="1:11" ht="16.5" thickBot="1">
      <c r="A201" s="218">
        <v>2004</v>
      </c>
      <c r="C201" s="219">
        <f>C190-C198</f>
        <v>259431.50000000003</v>
      </c>
      <c r="D201" s="219">
        <f>D190-D198</f>
        <v>0</v>
      </c>
      <c r="E201" s="219">
        <f>E190-E198</f>
        <v>0</v>
      </c>
      <c r="F201" s="220">
        <f>SUM(C201:E201)</f>
        <v>259431.50000000003</v>
      </c>
      <c r="G201" s="48"/>
      <c r="H201" s="128"/>
      <c r="I201" s="48"/>
      <c r="J201" s="221">
        <f>SUM(F201:I201)</f>
        <v>259431.50000000003</v>
      </c>
      <c r="K201" s="188"/>
    </row>
    <row r="202" spans="1:11" ht="15.75" thickTop="1">
      <c r="A202" s="222"/>
      <c r="C202" s="188"/>
      <c r="D202" s="188"/>
      <c r="E202" s="188"/>
      <c r="F202" s="216"/>
      <c r="G202" s="48"/>
      <c r="H202" s="128"/>
      <c r="I202" s="48"/>
      <c r="J202" s="217"/>
      <c r="K202" s="188"/>
    </row>
    <row r="203" spans="1:11" ht="16.5" thickBot="1">
      <c r="A203" s="218">
        <v>2003</v>
      </c>
      <c r="C203" s="219">
        <f>+C185-C193</f>
        <v>6487</v>
      </c>
      <c r="D203" s="219">
        <f>+D185-D193</f>
        <v>0</v>
      </c>
      <c r="E203" s="219">
        <f>+E185-E193</f>
        <v>0</v>
      </c>
      <c r="F203" s="220">
        <f>SUM(C203:E203)</f>
        <v>6487</v>
      </c>
      <c r="G203" s="48"/>
      <c r="H203" s="128"/>
      <c r="I203" s="48"/>
      <c r="J203" s="221">
        <f>SUM(F203:I203)</f>
        <v>6487</v>
      </c>
      <c r="K203" s="48"/>
    </row>
    <row r="204" spans="4:11" ht="15.75" thickTop="1">
      <c r="D204" s="48"/>
      <c r="E204" s="48"/>
      <c r="F204" s="223"/>
      <c r="H204" s="128"/>
      <c r="J204" s="217"/>
      <c r="K204" s="233"/>
    </row>
    <row r="205" spans="1:11" ht="15">
      <c r="A205" s="187" t="s">
        <v>335</v>
      </c>
      <c r="F205" s="223"/>
      <c r="H205" s="128"/>
      <c r="J205" s="217"/>
      <c r="K205" s="48"/>
    </row>
    <row r="206" spans="1:11" ht="16.5" thickBot="1">
      <c r="A206" s="187" t="s">
        <v>419</v>
      </c>
      <c r="B206" s="187"/>
      <c r="C206" s="219">
        <v>8287</v>
      </c>
      <c r="D206" s="219">
        <v>0</v>
      </c>
      <c r="E206" s="219">
        <v>0</v>
      </c>
      <c r="F206" s="220">
        <f>SUM(C206:E206)</f>
        <v>8287</v>
      </c>
      <c r="G206" s="187"/>
      <c r="H206" s="204"/>
      <c r="I206" s="187"/>
      <c r="J206" s="221">
        <f>SUM(F206:I206)</f>
        <v>8287</v>
      </c>
      <c r="K206" s="48"/>
    </row>
    <row r="207" spans="1:11" ht="16.5" thickBot="1" thickTop="1">
      <c r="A207" s="187"/>
      <c r="F207" s="223"/>
      <c r="H207" s="128"/>
      <c r="J207" s="224"/>
      <c r="K207" s="233"/>
    </row>
    <row r="208" spans="1:11" ht="15.75">
      <c r="A208" s="201" t="s">
        <v>340</v>
      </c>
      <c r="B208" s="187"/>
      <c r="C208" s="202"/>
      <c r="D208" s="192"/>
      <c r="E208" s="192"/>
      <c r="F208" s="189"/>
      <c r="G208" s="190"/>
      <c r="H208" s="204"/>
      <c r="I208" s="191"/>
      <c r="J208" s="226"/>
      <c r="K208" s="239"/>
    </row>
    <row r="209" spans="1:10" ht="15.75">
      <c r="A209" s="192"/>
      <c r="B209" s="187"/>
      <c r="C209" s="202"/>
      <c r="D209" s="192"/>
      <c r="E209" s="192"/>
      <c r="F209" s="189"/>
      <c r="G209" s="190"/>
      <c r="H209" s="204"/>
      <c r="I209" s="191"/>
      <c r="J209" s="203"/>
    </row>
    <row r="210" spans="1:11" ht="15.75">
      <c r="A210" s="192" t="s">
        <v>324</v>
      </c>
      <c r="B210" s="187"/>
      <c r="C210" s="188"/>
      <c r="D210" s="188"/>
      <c r="E210" s="188"/>
      <c r="F210" s="204"/>
      <c r="G210" s="191"/>
      <c r="H210" s="204"/>
      <c r="I210" s="191"/>
      <c r="J210" s="203"/>
      <c r="K210" s="187"/>
    </row>
    <row r="211" spans="1:10" ht="15.75">
      <c r="A211" s="187" t="s">
        <v>325</v>
      </c>
      <c r="B211" s="187"/>
      <c r="C211" s="188">
        <f aca="true" t="shared" si="0" ref="C211:E212">C12+C66+C127+C96+C158+C39+C185</f>
        <v>1835925</v>
      </c>
      <c r="D211" s="188">
        <f t="shared" si="0"/>
        <v>20302.17</v>
      </c>
      <c r="E211" s="188">
        <f t="shared" si="0"/>
        <v>0</v>
      </c>
      <c r="F211" s="204">
        <f>SUM(C211:E211)</f>
        <v>1856227.17</v>
      </c>
      <c r="G211" s="230"/>
      <c r="H211" s="204"/>
      <c r="I211" s="191"/>
      <c r="J211" s="205">
        <f>SUM(F211:I211)</f>
        <v>1856227.17</v>
      </c>
    </row>
    <row r="212" spans="1:10" ht="15.75">
      <c r="A212" s="187" t="s">
        <v>326</v>
      </c>
      <c r="B212" s="187"/>
      <c r="C212" s="188">
        <f t="shared" si="0"/>
        <v>275551.9</v>
      </c>
      <c r="D212" s="188">
        <f t="shared" si="0"/>
        <v>15962.17</v>
      </c>
      <c r="E212" s="188">
        <f t="shared" si="0"/>
        <v>0</v>
      </c>
      <c r="F212" s="204">
        <f>SUM(C212:E212)</f>
        <v>291514.07</v>
      </c>
      <c r="G212" s="191"/>
      <c r="H212" s="209"/>
      <c r="I212" s="191"/>
      <c r="J212" s="205">
        <f>SUM(F212:I212)</f>
        <v>291514.07</v>
      </c>
    </row>
    <row r="213" spans="1:10" ht="15.75">
      <c r="A213" s="187" t="s">
        <v>336</v>
      </c>
      <c r="B213" s="187"/>
      <c r="C213" s="188">
        <f>C14+C68+C129+C98+C160+C41+C187</f>
        <v>0</v>
      </c>
      <c r="D213" s="188"/>
      <c r="E213" s="188"/>
      <c r="F213" s="204"/>
      <c r="G213" s="191"/>
      <c r="H213" s="209"/>
      <c r="I213" s="191"/>
      <c r="J213" s="205"/>
    </row>
    <row r="214" spans="1:10" ht="15.75">
      <c r="A214" s="187" t="s">
        <v>337</v>
      </c>
      <c r="B214" s="187"/>
      <c r="C214" s="188">
        <f>C15+C69+C130+C99+C161+C42+C188</f>
        <v>0</v>
      </c>
      <c r="D214" s="188">
        <v>0</v>
      </c>
      <c r="E214" s="188">
        <v>0</v>
      </c>
      <c r="F214" s="204">
        <f>SUM(C214:E214)</f>
        <v>0</v>
      </c>
      <c r="G214" s="191"/>
      <c r="H214" s="209"/>
      <c r="I214" s="191"/>
      <c r="J214" s="205">
        <f>SUM(F214:I214)</f>
        <v>0</v>
      </c>
    </row>
    <row r="215" spans="1:10" ht="15.75">
      <c r="A215" s="187" t="s">
        <v>327</v>
      </c>
      <c r="B215" s="187"/>
      <c r="C215" s="188">
        <f>C16+C70+C131+C100+C162+C43+C189</f>
        <v>0</v>
      </c>
      <c r="D215" s="188">
        <f>D14+D70+D131+D100+D160</f>
        <v>0</v>
      </c>
      <c r="E215" s="188">
        <f>E14+E70+E131+E100+E160</f>
        <v>0</v>
      </c>
      <c r="F215" s="204">
        <f>SUM(C215:E215)</f>
        <v>0</v>
      </c>
      <c r="G215" s="191"/>
      <c r="H215" s="209"/>
      <c r="I215" s="191"/>
      <c r="J215" s="205">
        <f>SUM(F215:I215)</f>
        <v>0</v>
      </c>
    </row>
    <row r="216" spans="1:10" ht="15.75">
      <c r="A216" s="187" t="s">
        <v>333</v>
      </c>
      <c r="B216" s="187"/>
      <c r="C216" s="188">
        <v>0</v>
      </c>
      <c r="D216" s="188">
        <f>D15+D71+D132+D101+D161</f>
        <v>0</v>
      </c>
      <c r="E216" s="188">
        <f>E15+E71+E132+E101+E161</f>
        <v>0</v>
      </c>
      <c r="F216" s="207">
        <f>SUM(C216:E216)</f>
        <v>0</v>
      </c>
      <c r="G216" s="191"/>
      <c r="H216" s="209"/>
      <c r="I216" s="191"/>
      <c r="J216" s="205">
        <f>SUM(F216:I216)</f>
        <v>0</v>
      </c>
    </row>
    <row r="217" spans="1:10" ht="15.75">
      <c r="A217" s="187"/>
      <c r="B217" s="187"/>
      <c r="C217" s="208"/>
      <c r="D217" s="208"/>
      <c r="E217" s="208"/>
      <c r="F217" s="209"/>
      <c r="G217" s="191"/>
      <c r="H217" s="209"/>
      <c r="I217" s="191"/>
      <c r="J217" s="210"/>
    </row>
    <row r="218" spans="1:10" ht="15.75">
      <c r="A218" s="187" t="s">
        <v>329</v>
      </c>
      <c r="B218" s="187"/>
      <c r="C218" s="211">
        <f>SUM(C211:C217)</f>
        <v>2111476.9</v>
      </c>
      <c r="D218" s="211">
        <f>SUM(D211:D217)</f>
        <v>36264.34</v>
      </c>
      <c r="E218" s="228">
        <f>SUM(E211:E217)</f>
        <v>0</v>
      </c>
      <c r="F218" s="212">
        <f>SUM(F211:F217)</f>
        <v>2147741.2399999998</v>
      </c>
      <c r="G218" s="191"/>
      <c r="H218" s="209"/>
      <c r="I218" s="191"/>
      <c r="J218" s="231">
        <f>SUM(J211:J217)</f>
        <v>2147741.2399999998</v>
      </c>
    </row>
    <row r="219" spans="1:10" ht="18">
      <c r="A219" s="187"/>
      <c r="B219" s="187"/>
      <c r="C219" s="188"/>
      <c r="D219" s="188"/>
      <c r="E219" s="188"/>
      <c r="F219" s="209"/>
      <c r="G219" s="191"/>
      <c r="H219" s="209"/>
      <c r="I219" s="191"/>
      <c r="J219" s="232"/>
    </row>
    <row r="220" spans="1:10" ht="15.75">
      <c r="A220" s="192" t="s">
        <v>330</v>
      </c>
      <c r="B220" s="187"/>
      <c r="C220" s="188"/>
      <c r="D220" s="188"/>
      <c r="E220" s="188"/>
      <c r="F220" s="209"/>
      <c r="G220" s="191"/>
      <c r="H220" s="209"/>
      <c r="I220" s="191"/>
      <c r="J220" s="205"/>
    </row>
    <row r="221" spans="1:10" ht="15.75">
      <c r="A221" s="187" t="s">
        <v>325</v>
      </c>
      <c r="B221" s="187"/>
      <c r="C221" s="188">
        <f>C20+C76+C137+C106+C166+C193+C47</f>
        <v>421359.11</v>
      </c>
      <c r="D221" s="188">
        <f>D20+D76+D137+D106+D166+D193+D47</f>
        <v>3472</v>
      </c>
      <c r="E221" s="188">
        <f>E20+E76+E137+E106+E166+E193+E47</f>
        <v>0</v>
      </c>
      <c r="F221" s="204">
        <f>SUM(C221:E221)</f>
        <v>424831.11</v>
      </c>
      <c r="G221" s="230"/>
      <c r="H221" s="204"/>
      <c r="I221" s="191"/>
      <c r="J221" s="205">
        <f>SUM(F221:I221)</f>
        <v>424831.11</v>
      </c>
    </row>
    <row r="222" spans="1:10" ht="15.75">
      <c r="A222" s="187" t="s">
        <v>331</v>
      </c>
      <c r="B222" s="190"/>
      <c r="C222" s="188">
        <f aca="true" t="shared" si="1" ref="C222:E225">C21+C77+C138+C107+C167+C194+C48</f>
        <v>84445.2</v>
      </c>
      <c r="D222" s="188">
        <f t="shared" si="1"/>
        <v>2450.14</v>
      </c>
      <c r="E222" s="188">
        <f t="shared" si="1"/>
        <v>0</v>
      </c>
      <c r="F222" s="204">
        <f>SUM(C222:E222)</f>
        <v>86895.34</v>
      </c>
      <c r="G222" s="230"/>
      <c r="H222" s="209"/>
      <c r="I222" s="191"/>
      <c r="J222" s="205">
        <f>SUM(F222:I222)</f>
        <v>86895.34</v>
      </c>
    </row>
    <row r="223" spans="1:10" ht="15.75">
      <c r="A223" s="187" t="s">
        <v>336</v>
      </c>
      <c r="B223" s="190"/>
      <c r="C223" s="188">
        <f t="shared" si="1"/>
        <v>0</v>
      </c>
      <c r="D223" s="188"/>
      <c r="E223" s="188"/>
      <c r="F223" s="204"/>
      <c r="G223" s="191"/>
      <c r="H223" s="209"/>
      <c r="I223" s="191"/>
      <c r="J223" s="205"/>
    </row>
    <row r="224" spans="1:10" ht="15.75">
      <c r="A224" s="187" t="s">
        <v>337</v>
      </c>
      <c r="B224" s="190"/>
      <c r="C224" s="188">
        <f t="shared" si="1"/>
        <v>0</v>
      </c>
      <c r="D224" s="188">
        <v>0</v>
      </c>
      <c r="E224" s="188">
        <v>0</v>
      </c>
      <c r="F224" s="204">
        <f>SUM(C224:E224)</f>
        <v>0</v>
      </c>
      <c r="G224" s="191"/>
      <c r="H224" s="209"/>
      <c r="I224" s="191"/>
      <c r="J224" s="205">
        <f>SUM(F224:I224)</f>
        <v>0</v>
      </c>
    </row>
    <row r="225" spans="1:10" ht="15.75">
      <c r="A225" s="187" t="s">
        <v>332</v>
      </c>
      <c r="B225" s="187"/>
      <c r="C225" s="188">
        <f t="shared" si="1"/>
        <v>0</v>
      </c>
      <c r="D225" s="188">
        <f>D22+D80+D141+D110+D168</f>
        <v>0</v>
      </c>
      <c r="E225" s="188">
        <f>E22+E80+E141+E110+E168</f>
        <v>0</v>
      </c>
      <c r="F225" s="204">
        <f>SUM(C225:E225)</f>
        <v>0</v>
      </c>
      <c r="G225" s="191"/>
      <c r="H225" s="209"/>
      <c r="I225" s="191"/>
      <c r="J225" s="205">
        <f>SUM(F225:I225)</f>
        <v>0</v>
      </c>
    </row>
    <row r="226" spans="1:10" ht="15.75">
      <c r="A226" s="187" t="s">
        <v>333</v>
      </c>
      <c r="B226" s="187"/>
      <c r="C226" s="188">
        <f>C23+C81+C142+C111+C169</f>
        <v>0</v>
      </c>
      <c r="D226" s="188">
        <f>D23+D81+D142+D111+D169</f>
        <v>0</v>
      </c>
      <c r="E226" s="188">
        <f>E23+E81+E142+E111+E169</f>
        <v>0</v>
      </c>
      <c r="F226" s="207">
        <f>SUM(C226:E226)</f>
        <v>0</v>
      </c>
      <c r="G226" s="191"/>
      <c r="H226" s="209"/>
      <c r="I226" s="191"/>
      <c r="J226" s="205">
        <f>SUM(F226:I226)</f>
        <v>0</v>
      </c>
    </row>
    <row r="227" spans="1:10" ht="15">
      <c r="A227" s="187"/>
      <c r="C227" s="208"/>
      <c r="D227" s="208"/>
      <c r="E227" s="208"/>
      <c r="F227" s="48"/>
      <c r="G227" s="48"/>
      <c r="H227" s="274"/>
      <c r="I227" s="48"/>
      <c r="J227" s="214"/>
    </row>
    <row r="228" spans="1:10" ht="15.75">
      <c r="A228" s="187" t="s">
        <v>329</v>
      </c>
      <c r="C228" s="211">
        <f>SUM(C221:C227)</f>
        <v>505804.31</v>
      </c>
      <c r="D228" s="211">
        <f>SUM(D221:D227)</f>
        <v>5922.139999999999</v>
      </c>
      <c r="E228" s="228">
        <f>SUM(E221:E227)</f>
        <v>0</v>
      </c>
      <c r="F228" s="215">
        <f>SUM(F221:F227)</f>
        <v>511726.44999999995</v>
      </c>
      <c r="G228" s="48"/>
      <c r="H228" s="272"/>
      <c r="I228" s="48"/>
      <c r="J228" s="213">
        <f>SUM(J221:J227)</f>
        <v>511726.44999999995</v>
      </c>
    </row>
    <row r="229" spans="1:10" ht="18">
      <c r="A229" s="187"/>
      <c r="C229" s="188"/>
      <c r="D229" s="188"/>
      <c r="E229" s="188"/>
      <c r="F229" s="216"/>
      <c r="G229" s="48"/>
      <c r="H229" s="128"/>
      <c r="I229" s="48"/>
      <c r="J229" s="232"/>
    </row>
    <row r="230" spans="1:10" ht="15.75">
      <c r="A230" s="192" t="s">
        <v>334</v>
      </c>
      <c r="C230" s="188"/>
      <c r="D230" s="188"/>
      <c r="E230" s="188"/>
      <c r="F230" s="216"/>
      <c r="G230" s="48"/>
      <c r="H230" s="128"/>
      <c r="I230" s="48"/>
      <c r="J230" s="217"/>
    </row>
    <row r="231" spans="1:10" ht="16.5" thickBot="1">
      <c r="A231" s="218">
        <v>2004</v>
      </c>
      <c r="C231" s="219">
        <f>C218-C228</f>
        <v>1605672.5899999999</v>
      </c>
      <c r="D231" s="219">
        <f>D218-D228</f>
        <v>30342.199999999997</v>
      </c>
      <c r="E231" s="219">
        <f>E218-E228</f>
        <v>0</v>
      </c>
      <c r="F231" s="220">
        <f>SUM(C231:E231)</f>
        <v>1636014.7899999998</v>
      </c>
      <c r="G231" s="48"/>
      <c r="H231" s="204"/>
      <c r="I231" s="48"/>
      <c r="J231" s="221">
        <f>SUM(F231:I231)</f>
        <v>1636014.7899999998</v>
      </c>
    </row>
    <row r="232" spans="1:10" ht="18.75" thickTop="1">
      <c r="A232" s="234"/>
      <c r="B232" s="235" t="s">
        <v>341</v>
      </c>
      <c r="C232" s="236">
        <f>C231-'[1]BS'!C30</f>
        <v>-6414343.41</v>
      </c>
      <c r="D232" s="236">
        <f>D231-'[1]BS'!D30</f>
        <v>-1544059.8</v>
      </c>
      <c r="E232" s="236"/>
      <c r="F232" s="237"/>
      <c r="G232" s="238"/>
      <c r="H232" s="275"/>
      <c r="I232" s="238"/>
      <c r="J232" s="232"/>
    </row>
    <row r="233" spans="1:10" ht="16.5" thickBot="1">
      <c r="A233" s="218">
        <v>2003</v>
      </c>
      <c r="C233" s="219">
        <f>+C211-C221</f>
        <v>1414565.8900000001</v>
      </c>
      <c r="D233" s="219">
        <f>+D211-D221</f>
        <v>16830.17</v>
      </c>
      <c r="E233" s="219">
        <f>+E211-E221</f>
        <v>0</v>
      </c>
      <c r="F233" s="220">
        <f>SUM(C233:E233)</f>
        <v>1431396.06</v>
      </c>
      <c r="G233" s="48"/>
      <c r="H233" s="204"/>
      <c r="I233" s="48"/>
      <c r="J233" s="221">
        <f>SUM(F233:I233)</f>
        <v>1431396.06</v>
      </c>
    </row>
    <row r="234" spans="1:10" ht="15.75" thickTop="1">
      <c r="A234" s="239"/>
      <c r="B234" s="235"/>
      <c r="C234" s="240"/>
      <c r="D234" s="238"/>
      <c r="E234" s="238"/>
      <c r="F234" s="241"/>
      <c r="G234" s="239"/>
      <c r="H234" s="275"/>
      <c r="I234" s="239"/>
      <c r="J234" s="242"/>
    </row>
    <row r="235" spans="1:10" ht="15">
      <c r="A235" s="187" t="s">
        <v>335</v>
      </c>
      <c r="F235" s="223"/>
      <c r="H235" s="128"/>
      <c r="J235" s="217"/>
    </row>
    <row r="236" spans="1:10" ht="16.5" thickBot="1">
      <c r="A236" s="187" t="s">
        <v>476</v>
      </c>
      <c r="B236" s="187"/>
      <c r="C236" s="219">
        <f>C33+C91+C152+C121+C179+C206+C60</f>
        <v>109507</v>
      </c>
      <c r="D236" s="219">
        <f>D33+D91+D152+D121+D179</f>
        <v>868</v>
      </c>
      <c r="E236" s="219">
        <f>E33+E91+E152+E121+E179</f>
        <v>0</v>
      </c>
      <c r="F236" s="220">
        <f>SUM(C236:E236)</f>
        <v>110375</v>
      </c>
      <c r="G236" s="187"/>
      <c r="H236" s="204"/>
      <c r="I236" s="187"/>
      <c r="J236" s="221">
        <f>SUM(F236:I236)</f>
        <v>110375</v>
      </c>
    </row>
    <row r="237" spans="1:10" ht="16.5" thickBot="1" thickTop="1">
      <c r="A237" s="187"/>
      <c r="F237" s="223"/>
      <c r="H237" s="128"/>
      <c r="J237" s="224"/>
    </row>
    <row r="238" spans="1:10" ht="15">
      <c r="A238" s="187"/>
      <c r="F238" s="223"/>
      <c r="H238" s="128"/>
      <c r="J238" s="243"/>
    </row>
    <row r="239" ht="12.75">
      <c r="H239" s="128"/>
    </row>
    <row r="240" ht="12.75">
      <c r="H240" s="128"/>
    </row>
    <row r="241" ht="12.75">
      <c r="H241" s="128"/>
    </row>
    <row r="242" ht="12.75">
      <c r="H242" s="128"/>
    </row>
    <row r="243" ht="12.75">
      <c r="H243" s="128"/>
    </row>
    <row r="244" ht="12.75">
      <c r="H244" s="128"/>
    </row>
    <row r="245" ht="12.75">
      <c r="H245" s="128"/>
    </row>
    <row r="246" ht="12.75">
      <c r="H246" s="128"/>
    </row>
    <row r="247" ht="12.75">
      <c r="H247" s="128"/>
    </row>
    <row r="248" ht="12.75">
      <c r="H248" s="128"/>
    </row>
    <row r="249" ht="12.75">
      <c r="H249" s="128"/>
    </row>
    <row r="250" ht="12.75">
      <c r="H250" s="128"/>
    </row>
    <row r="251" ht="12.75">
      <c r="H251" s="128"/>
    </row>
    <row r="252" ht="12.75">
      <c r="H252" s="128"/>
    </row>
    <row r="253" ht="12.75">
      <c r="H253" s="128"/>
    </row>
    <row r="254" ht="12.75">
      <c r="H254" s="128"/>
    </row>
    <row r="255" ht="12.75">
      <c r="H255" s="128"/>
    </row>
    <row r="256" ht="12.75">
      <c r="H256" s="128"/>
    </row>
    <row r="257" ht="12.75">
      <c r="H257" s="128"/>
    </row>
    <row r="258" ht="12.75">
      <c r="H258" s="128"/>
    </row>
    <row r="259" ht="12.75">
      <c r="H259" s="128"/>
    </row>
    <row r="260" ht="12.75">
      <c r="H260" s="128"/>
    </row>
    <row r="261" ht="12.75">
      <c r="H261" s="128"/>
    </row>
    <row r="262" ht="12.75">
      <c r="H262" s="128"/>
    </row>
    <row r="263" ht="12.75">
      <c r="H263" s="128"/>
    </row>
    <row r="264" ht="12.75">
      <c r="H264" s="128"/>
    </row>
    <row r="265" ht="12.75">
      <c r="H265" s="128"/>
    </row>
    <row r="266" ht="12.75">
      <c r="H266" s="128"/>
    </row>
    <row r="267" ht="12.75">
      <c r="H267" s="128"/>
    </row>
    <row r="268" ht="12.75">
      <c r="H268" s="128"/>
    </row>
    <row r="269" ht="12.75">
      <c r="H269" s="128"/>
    </row>
    <row r="270" ht="12.75">
      <c r="H270" s="128"/>
    </row>
    <row r="271" ht="12.75">
      <c r="H271" s="128"/>
    </row>
    <row r="272" ht="12.75">
      <c r="H272" s="128"/>
    </row>
    <row r="273" ht="12.75">
      <c r="H273" s="128"/>
    </row>
    <row r="274" ht="12.75">
      <c r="H274" s="128"/>
    </row>
    <row r="275" ht="12.75">
      <c r="H275" s="128"/>
    </row>
    <row r="276" ht="12.75">
      <c r="H276" s="128"/>
    </row>
    <row r="277" ht="12.75">
      <c r="H277" s="128"/>
    </row>
    <row r="278" ht="12.75">
      <c r="H278" s="128"/>
    </row>
    <row r="279" ht="12.75">
      <c r="H279" s="128"/>
    </row>
    <row r="280" ht="12.75">
      <c r="H280" s="128"/>
    </row>
    <row r="281" ht="12.75">
      <c r="H281" s="128"/>
    </row>
    <row r="282" ht="12.75">
      <c r="H282" s="128"/>
    </row>
    <row r="283" ht="12.75">
      <c r="H283" s="128"/>
    </row>
    <row r="284" ht="12.75">
      <c r="H284" s="128"/>
    </row>
    <row r="285" ht="12.75">
      <c r="H285" s="128"/>
    </row>
    <row r="286" ht="12.75">
      <c r="H286" s="128"/>
    </row>
    <row r="287" ht="12.75">
      <c r="H287" s="128"/>
    </row>
    <row r="288" ht="12.75">
      <c r="H288" s="128"/>
    </row>
    <row r="289" ht="12.75">
      <c r="H289" s="128"/>
    </row>
    <row r="290" ht="12.75">
      <c r="H290" s="128"/>
    </row>
    <row r="291" ht="12.75">
      <c r="H291" s="128"/>
    </row>
    <row r="292" ht="12.75">
      <c r="H292" s="128"/>
    </row>
    <row r="293" ht="12.75">
      <c r="H293" s="128"/>
    </row>
    <row r="294" ht="12.75">
      <c r="H294" s="128"/>
    </row>
    <row r="295" ht="12.75">
      <c r="H295" s="128"/>
    </row>
    <row r="296" ht="12.75">
      <c r="H296" s="128"/>
    </row>
    <row r="297" ht="12.75">
      <c r="H297" s="128"/>
    </row>
    <row r="298" ht="12.75">
      <c r="H298" s="128"/>
    </row>
    <row r="299" ht="12.75">
      <c r="H299" s="128"/>
    </row>
    <row r="300" ht="12.75">
      <c r="H300" s="128"/>
    </row>
    <row r="301" ht="12.75">
      <c r="H301" s="128"/>
    </row>
    <row r="302" ht="12.75">
      <c r="H302" s="128"/>
    </row>
    <row r="303" ht="12.75">
      <c r="H303" s="128"/>
    </row>
    <row r="304" ht="12.75">
      <c r="H304" s="128"/>
    </row>
    <row r="305" ht="12.75">
      <c r="H305" s="128"/>
    </row>
    <row r="306" ht="12.75">
      <c r="H306" s="128"/>
    </row>
    <row r="307" ht="12.75">
      <c r="H307" s="128"/>
    </row>
    <row r="308" ht="12.75">
      <c r="H308" s="128"/>
    </row>
    <row r="309" ht="12.75">
      <c r="H309" s="128"/>
    </row>
    <row r="310" ht="12.75">
      <c r="H310" s="128"/>
    </row>
    <row r="311" ht="12.75">
      <c r="H311" s="128"/>
    </row>
    <row r="312" ht="12.75">
      <c r="H312" s="128"/>
    </row>
    <row r="313" ht="12.75">
      <c r="H313" s="128"/>
    </row>
    <row r="314" ht="12.75">
      <c r="H314" s="128"/>
    </row>
    <row r="315" ht="12.75">
      <c r="H315" s="128"/>
    </row>
    <row r="316" ht="12.75">
      <c r="H316" s="128"/>
    </row>
    <row r="317" ht="12.75">
      <c r="H317" s="128"/>
    </row>
    <row r="318" ht="12.75">
      <c r="H318" s="128"/>
    </row>
    <row r="319" ht="12.75">
      <c r="H319" s="128"/>
    </row>
    <row r="320" ht="12.75">
      <c r="H320" s="128"/>
    </row>
    <row r="321" ht="12.75">
      <c r="H321" s="128"/>
    </row>
    <row r="322" ht="12.75">
      <c r="H322" s="128"/>
    </row>
    <row r="323" ht="12.75">
      <c r="H323" s="128"/>
    </row>
    <row r="324" ht="12.75">
      <c r="H324" s="128"/>
    </row>
    <row r="325" ht="12.75">
      <c r="H325" s="128"/>
    </row>
    <row r="326" ht="12.75">
      <c r="H326" s="128"/>
    </row>
    <row r="327" ht="12.75">
      <c r="H327" s="128"/>
    </row>
    <row r="328" ht="12.75">
      <c r="H328" s="128"/>
    </row>
    <row r="329" ht="12.75">
      <c r="H329" s="128"/>
    </row>
    <row r="330" ht="12.75">
      <c r="H330" s="128"/>
    </row>
    <row r="331" ht="12.75">
      <c r="H331" s="128"/>
    </row>
    <row r="332" ht="12.75">
      <c r="H332" s="128"/>
    </row>
    <row r="333" ht="12.75">
      <c r="H333" s="128"/>
    </row>
    <row r="334" ht="12.75">
      <c r="H334" s="128"/>
    </row>
    <row r="335" ht="12.75">
      <c r="H335" s="128"/>
    </row>
    <row r="336" ht="12.75">
      <c r="H336" s="128"/>
    </row>
    <row r="337" ht="12.75">
      <c r="H337" s="128"/>
    </row>
    <row r="338" ht="12.75">
      <c r="H338" s="128"/>
    </row>
    <row r="339" ht="12.75">
      <c r="H339" s="128"/>
    </row>
    <row r="340" ht="12.75">
      <c r="H340" s="128"/>
    </row>
    <row r="341" ht="12.75">
      <c r="H341" s="128"/>
    </row>
    <row r="342" ht="12.75">
      <c r="H342" s="128"/>
    </row>
    <row r="343" ht="12.75">
      <c r="H343" s="128"/>
    </row>
    <row r="344" ht="12.75">
      <c r="H344" s="128"/>
    </row>
    <row r="345" ht="12.75">
      <c r="H345" s="128"/>
    </row>
    <row r="346" ht="12.75">
      <c r="H346" s="128"/>
    </row>
    <row r="347" ht="12.75">
      <c r="H347" s="128"/>
    </row>
    <row r="348" ht="12.75">
      <c r="H348" s="128"/>
    </row>
    <row r="349" ht="12.75">
      <c r="H349" s="128"/>
    </row>
    <row r="350" ht="12.75">
      <c r="H350" s="128"/>
    </row>
    <row r="351" ht="12.75">
      <c r="H351" s="128"/>
    </row>
    <row r="352" ht="12.75">
      <c r="H352" s="128"/>
    </row>
    <row r="353" ht="12.75">
      <c r="H353" s="128"/>
    </row>
    <row r="354" ht="12.75">
      <c r="H354" s="128"/>
    </row>
    <row r="355" ht="12.75">
      <c r="H355" s="128"/>
    </row>
    <row r="356" ht="12.75">
      <c r="H356" s="128"/>
    </row>
    <row r="357" ht="12.75">
      <c r="H357" s="128"/>
    </row>
    <row r="358" ht="12.75">
      <c r="H358" s="128"/>
    </row>
    <row r="359" ht="12.75">
      <c r="H359" s="128"/>
    </row>
    <row r="360" ht="12.75">
      <c r="H360" s="128"/>
    </row>
    <row r="361" ht="12.75">
      <c r="H361" s="128"/>
    </row>
    <row r="362" ht="12.75">
      <c r="H362" s="128"/>
    </row>
    <row r="363" ht="12.75">
      <c r="H363" s="128"/>
    </row>
    <row r="364" ht="12.75">
      <c r="H364" s="128"/>
    </row>
    <row r="365" ht="12.75">
      <c r="H365" s="128"/>
    </row>
    <row r="366" ht="12.75">
      <c r="H366" s="128"/>
    </row>
    <row r="367" ht="12.75">
      <c r="H367" s="128"/>
    </row>
    <row r="368" ht="12.75">
      <c r="H368" s="128"/>
    </row>
    <row r="369" ht="12.75">
      <c r="H369" s="128"/>
    </row>
    <row r="370" ht="12.75">
      <c r="H370" s="128"/>
    </row>
    <row r="371" ht="12.75">
      <c r="H371" s="128"/>
    </row>
    <row r="372" ht="12.75">
      <c r="H372" s="128"/>
    </row>
    <row r="373" ht="12.75">
      <c r="H373" s="128"/>
    </row>
    <row r="374" ht="12.75">
      <c r="H374" s="128"/>
    </row>
    <row r="375" ht="12.75">
      <c r="H375" s="128"/>
    </row>
    <row r="376" ht="12.75">
      <c r="H376" s="128"/>
    </row>
    <row r="377" ht="12.75">
      <c r="H377" s="128"/>
    </row>
    <row r="378" ht="12.75">
      <c r="H378" s="128"/>
    </row>
    <row r="379" ht="12.75">
      <c r="H379" s="128"/>
    </row>
    <row r="380" ht="12.75">
      <c r="H380" s="128"/>
    </row>
    <row r="381" ht="12.75">
      <c r="H381" s="128"/>
    </row>
    <row r="382" ht="12.75">
      <c r="H382" s="128"/>
    </row>
    <row r="383" ht="12.75">
      <c r="H383" s="128"/>
    </row>
    <row r="384" ht="12.75">
      <c r="H384" s="128"/>
    </row>
    <row r="385" ht="12.75">
      <c r="H385" s="128"/>
    </row>
    <row r="386" ht="12.75">
      <c r="H386" s="128"/>
    </row>
    <row r="387" ht="12.75">
      <c r="H387" s="128"/>
    </row>
    <row r="388" ht="12.75">
      <c r="H388" s="128"/>
    </row>
    <row r="389" ht="12.75">
      <c r="H389" s="128"/>
    </row>
    <row r="390" ht="12.75">
      <c r="H390" s="128"/>
    </row>
    <row r="391" ht="12.75">
      <c r="H391" s="128"/>
    </row>
    <row r="392" ht="12.75">
      <c r="H392" s="128"/>
    </row>
    <row r="393" ht="12.75">
      <c r="H393" s="128"/>
    </row>
    <row r="394" ht="12.75">
      <c r="H394" s="128"/>
    </row>
    <row r="395" ht="12.75">
      <c r="H395" s="128"/>
    </row>
    <row r="396" ht="12.75">
      <c r="H396" s="128"/>
    </row>
    <row r="397" ht="12.75">
      <c r="H397" s="128"/>
    </row>
    <row r="398" ht="12.75">
      <c r="H398" s="128"/>
    </row>
    <row r="399" ht="12.75">
      <c r="H399" s="128"/>
    </row>
    <row r="400" ht="12.75">
      <c r="H400" s="128"/>
    </row>
    <row r="401" ht="12.75">
      <c r="H401" s="128"/>
    </row>
    <row r="402" ht="12.75">
      <c r="H402" s="128"/>
    </row>
    <row r="403" ht="12.75">
      <c r="H403" s="128"/>
    </row>
    <row r="404" ht="12.75">
      <c r="H404" s="128"/>
    </row>
    <row r="405" ht="12.75">
      <c r="H405" s="128"/>
    </row>
    <row r="406" ht="12.75">
      <c r="H406" s="128"/>
    </row>
    <row r="407" ht="12.75">
      <c r="H407" s="128"/>
    </row>
    <row r="408" ht="12.75">
      <c r="H408" s="128"/>
    </row>
    <row r="409" ht="12.75">
      <c r="H409" s="128"/>
    </row>
    <row r="410" ht="12.75">
      <c r="H410" s="128"/>
    </row>
    <row r="411" ht="12.75">
      <c r="H411" s="128"/>
    </row>
    <row r="412" ht="12.75">
      <c r="H412" s="128"/>
    </row>
    <row r="413" ht="12.75">
      <c r="H413" s="128"/>
    </row>
    <row r="414" ht="12.75">
      <c r="H414" s="128"/>
    </row>
    <row r="415" ht="12.75">
      <c r="H415" s="128"/>
    </row>
    <row r="416" ht="12.75">
      <c r="H416" s="128"/>
    </row>
    <row r="417" ht="12.75">
      <c r="H417" s="128"/>
    </row>
    <row r="418" ht="12.75">
      <c r="H418" s="128"/>
    </row>
    <row r="419" ht="12.75">
      <c r="H419" s="128"/>
    </row>
    <row r="420" ht="12.75">
      <c r="H420" s="128"/>
    </row>
    <row r="421" ht="12.75">
      <c r="H421" s="128"/>
    </row>
    <row r="422" ht="12.75">
      <c r="H422" s="128"/>
    </row>
    <row r="423" ht="12.75">
      <c r="H423" s="128"/>
    </row>
    <row r="424" ht="12.75">
      <c r="H424" s="128"/>
    </row>
    <row r="425" ht="12.75">
      <c r="H425" s="128"/>
    </row>
    <row r="426" ht="12.75">
      <c r="H426" s="128"/>
    </row>
    <row r="427" ht="12.75">
      <c r="H427" s="128"/>
    </row>
    <row r="428" ht="12.75">
      <c r="H428" s="128"/>
    </row>
    <row r="429" ht="12.75">
      <c r="H429" s="128"/>
    </row>
    <row r="430" ht="12.75">
      <c r="H430" s="128"/>
    </row>
    <row r="431" ht="12.75">
      <c r="H431" s="128"/>
    </row>
    <row r="432" ht="12.75">
      <c r="H432" s="128"/>
    </row>
    <row r="433" ht="12.75">
      <c r="H433" s="128"/>
    </row>
    <row r="434" ht="12.75">
      <c r="H434" s="128"/>
    </row>
    <row r="435" ht="12.75">
      <c r="H435" s="128"/>
    </row>
    <row r="436" ht="12.75">
      <c r="H436" s="128"/>
    </row>
    <row r="437" ht="12.75">
      <c r="H437" s="128"/>
    </row>
    <row r="438" ht="12.75">
      <c r="H438" s="128"/>
    </row>
    <row r="439" ht="12.75">
      <c r="H439" s="128"/>
    </row>
    <row r="440" ht="12.75">
      <c r="H440" s="128"/>
    </row>
    <row r="441" ht="12.75">
      <c r="H441" s="128"/>
    </row>
    <row r="442" ht="12.75">
      <c r="H442" s="128"/>
    </row>
    <row r="443" ht="12.75">
      <c r="H443" s="128"/>
    </row>
    <row r="444" ht="12.75">
      <c r="H444" s="128"/>
    </row>
    <row r="445" ht="12.75">
      <c r="H445" s="128"/>
    </row>
    <row r="446" ht="12.75">
      <c r="H446" s="128"/>
    </row>
    <row r="447" ht="12.75">
      <c r="H447" s="128"/>
    </row>
    <row r="448" ht="12.75">
      <c r="H448" s="128"/>
    </row>
    <row r="449" ht="12.75">
      <c r="H449" s="128"/>
    </row>
    <row r="450" ht="12.75">
      <c r="H450" s="128"/>
    </row>
    <row r="451" ht="12.75">
      <c r="H451" s="128"/>
    </row>
    <row r="452" ht="12.75">
      <c r="H452" s="128"/>
    </row>
    <row r="453" ht="12.75">
      <c r="H453" s="128"/>
    </row>
    <row r="454" ht="12.75">
      <c r="H454" s="128"/>
    </row>
    <row r="455" ht="12.75">
      <c r="H455" s="128"/>
    </row>
    <row r="456" ht="12.75">
      <c r="H456" s="128"/>
    </row>
    <row r="457" ht="12.75">
      <c r="H457" s="128"/>
    </row>
    <row r="458" ht="12.75">
      <c r="H458" s="128"/>
    </row>
    <row r="459" ht="12.75">
      <c r="H459" s="128"/>
    </row>
    <row r="460" ht="12.75">
      <c r="H460" s="128"/>
    </row>
    <row r="461" ht="12.75">
      <c r="H461" s="128"/>
    </row>
    <row r="462" ht="12.75">
      <c r="H462" s="128"/>
    </row>
    <row r="463" ht="12.75">
      <c r="H463" s="128"/>
    </row>
    <row r="464" ht="12.75">
      <c r="H464" s="128"/>
    </row>
    <row r="465" ht="12.75">
      <c r="H465" s="128"/>
    </row>
    <row r="466" ht="12.75">
      <c r="H466" s="128"/>
    </row>
    <row r="467" ht="12.75">
      <c r="H467" s="128"/>
    </row>
    <row r="468" ht="12.75">
      <c r="H468" s="128"/>
    </row>
    <row r="469" ht="12.75">
      <c r="H469" s="128"/>
    </row>
    <row r="470" ht="12.75">
      <c r="H470" s="128"/>
    </row>
    <row r="471" ht="12.75">
      <c r="H471" s="128"/>
    </row>
    <row r="472" ht="12.75">
      <c r="H472" s="128"/>
    </row>
    <row r="473" ht="12.75">
      <c r="H473" s="128"/>
    </row>
    <row r="474" ht="12.75">
      <c r="H474" s="128"/>
    </row>
    <row r="475" ht="12.75">
      <c r="H475" s="128"/>
    </row>
    <row r="476" ht="12.75">
      <c r="H476" s="128"/>
    </row>
    <row r="477" ht="12.75">
      <c r="H477" s="128"/>
    </row>
    <row r="478" ht="12.75">
      <c r="H478" s="128"/>
    </row>
    <row r="479" ht="12.75">
      <c r="H479" s="128"/>
    </row>
    <row r="480" ht="12.75">
      <c r="H480" s="128"/>
    </row>
    <row r="481" ht="12.75">
      <c r="H481" s="128"/>
    </row>
    <row r="482" ht="12.75">
      <c r="H482" s="128"/>
    </row>
    <row r="483" ht="12.75">
      <c r="H483" s="128"/>
    </row>
    <row r="484" ht="12.75">
      <c r="H484" s="128"/>
    </row>
    <row r="485" ht="12.75">
      <c r="H485" s="128"/>
    </row>
    <row r="486" ht="12.75">
      <c r="H486" s="128"/>
    </row>
    <row r="487" ht="12.75">
      <c r="H487" s="128"/>
    </row>
    <row r="488" ht="12.75">
      <c r="H488" s="128"/>
    </row>
    <row r="489" ht="12.75">
      <c r="H489" s="128"/>
    </row>
    <row r="490" ht="12.75">
      <c r="H490" s="128"/>
    </row>
    <row r="491" ht="12.75">
      <c r="H491" s="128"/>
    </row>
    <row r="492" ht="12.75">
      <c r="H492" s="128"/>
    </row>
    <row r="493" ht="12.75">
      <c r="H493" s="128"/>
    </row>
    <row r="494" ht="12.75">
      <c r="H494" s="128"/>
    </row>
    <row r="495" ht="12.75">
      <c r="H495" s="128"/>
    </row>
    <row r="496" ht="12.75">
      <c r="H496" s="128"/>
    </row>
    <row r="497" ht="12.75">
      <c r="H497" s="128"/>
    </row>
    <row r="498" ht="12.75">
      <c r="H498" s="128"/>
    </row>
    <row r="499" ht="12.75">
      <c r="H499" s="128"/>
    </row>
    <row r="500" ht="12.75">
      <c r="H500" s="128"/>
    </row>
    <row r="501" ht="12.75">
      <c r="H501" s="128"/>
    </row>
    <row r="502" ht="12.75">
      <c r="H502" s="128"/>
    </row>
    <row r="503" ht="12.75">
      <c r="H503" s="128"/>
    </row>
    <row r="504" ht="12.75">
      <c r="H504" s="128"/>
    </row>
    <row r="505" ht="12.75">
      <c r="H505" s="128"/>
    </row>
    <row r="506" ht="12.75">
      <c r="H506" s="128"/>
    </row>
    <row r="507" ht="12.75">
      <c r="H507" s="128"/>
    </row>
    <row r="508" ht="12.75">
      <c r="H508" s="128"/>
    </row>
    <row r="509" ht="12.75">
      <c r="H509" s="128"/>
    </row>
    <row r="510" ht="12.75">
      <c r="H510" s="128"/>
    </row>
    <row r="511" ht="12.75">
      <c r="H511" s="128"/>
    </row>
    <row r="512" ht="12.75">
      <c r="H512" s="128"/>
    </row>
    <row r="513" ht="12.75">
      <c r="H513" s="128"/>
    </row>
    <row r="514" ht="12.75">
      <c r="H514" s="128"/>
    </row>
    <row r="515" ht="12.75">
      <c r="H515" s="128"/>
    </row>
    <row r="516" ht="12.75">
      <c r="H516" s="128"/>
    </row>
    <row r="517" ht="12.75">
      <c r="H517" s="128"/>
    </row>
    <row r="518" ht="12.75">
      <c r="H518" s="128"/>
    </row>
    <row r="519" ht="12.75">
      <c r="H519" s="128"/>
    </row>
    <row r="520" ht="12.75">
      <c r="H520" s="128"/>
    </row>
    <row r="521" ht="12.75">
      <c r="H521" s="128"/>
    </row>
    <row r="522" ht="12.75">
      <c r="H522" s="128"/>
    </row>
    <row r="523" ht="12.75">
      <c r="H523" s="128"/>
    </row>
    <row r="524" ht="12.75">
      <c r="H524" s="128"/>
    </row>
    <row r="525" ht="12.75">
      <c r="H525" s="128"/>
    </row>
    <row r="526" ht="12.75">
      <c r="H526" s="128"/>
    </row>
    <row r="527" ht="12.75">
      <c r="H527" s="128"/>
    </row>
    <row r="528" ht="12.75">
      <c r="H528" s="128"/>
    </row>
    <row r="529" ht="12.75">
      <c r="H529" s="128"/>
    </row>
    <row r="530" ht="12.75">
      <c r="H530" s="128"/>
    </row>
    <row r="531" ht="12.75">
      <c r="H531" s="128"/>
    </row>
    <row r="532" ht="12.75">
      <c r="H532" s="128"/>
    </row>
    <row r="533" ht="12.75">
      <c r="H533" s="128"/>
    </row>
    <row r="534" ht="12.75">
      <c r="H534" s="128"/>
    </row>
    <row r="535" ht="12.75">
      <c r="H535" s="128"/>
    </row>
    <row r="536" ht="12.75">
      <c r="H536" s="128"/>
    </row>
    <row r="537" ht="12.75">
      <c r="H537" s="128"/>
    </row>
    <row r="538" ht="12.75">
      <c r="H538" s="128"/>
    </row>
    <row r="539" ht="12.75">
      <c r="H539" s="128"/>
    </row>
    <row r="540" ht="12.75">
      <c r="H540" s="128"/>
    </row>
    <row r="541" ht="12.75">
      <c r="H541" s="128"/>
    </row>
    <row r="542" ht="12.75">
      <c r="H542" s="128"/>
    </row>
    <row r="543" ht="12.75">
      <c r="H543" s="128"/>
    </row>
    <row r="544" ht="12.75">
      <c r="H544" s="128"/>
    </row>
    <row r="545" ht="12.75">
      <c r="H545" s="128"/>
    </row>
    <row r="546" ht="12.75">
      <c r="H546" s="128"/>
    </row>
    <row r="547" ht="12.75">
      <c r="H547" s="128"/>
    </row>
    <row r="548" ht="12.75">
      <c r="H548" s="128"/>
    </row>
    <row r="549" ht="12.75">
      <c r="H549" s="128"/>
    </row>
    <row r="550" ht="12.75">
      <c r="H550" s="128"/>
    </row>
    <row r="551" ht="12.75">
      <c r="H551" s="128"/>
    </row>
    <row r="552" ht="12.75">
      <c r="H552" s="128"/>
    </row>
    <row r="553" ht="12.75">
      <c r="H553" s="128"/>
    </row>
    <row r="554" ht="12.75">
      <c r="H554" s="128"/>
    </row>
    <row r="555" ht="12.75">
      <c r="H555" s="128"/>
    </row>
    <row r="556" ht="12.75">
      <c r="H556" s="128"/>
    </row>
    <row r="557" ht="12.75">
      <c r="H557" s="128"/>
    </row>
    <row r="558" ht="12.75">
      <c r="H558" s="128"/>
    </row>
    <row r="559" ht="12.75">
      <c r="H559" s="128"/>
    </row>
    <row r="560" ht="12.75">
      <c r="H560" s="128"/>
    </row>
    <row r="561" ht="12.75">
      <c r="H561" s="128"/>
    </row>
    <row r="562" ht="12.75">
      <c r="H562" s="128"/>
    </row>
    <row r="563" ht="12.75">
      <c r="H563" s="128"/>
    </row>
    <row r="564" ht="12.75">
      <c r="H564" s="128"/>
    </row>
    <row r="565" ht="12.75">
      <c r="H565" s="128"/>
    </row>
    <row r="566" ht="12.75">
      <c r="H566" s="128"/>
    </row>
    <row r="567" ht="12.75">
      <c r="H567" s="128"/>
    </row>
    <row r="568" ht="12.75">
      <c r="H568" s="128"/>
    </row>
    <row r="569" ht="12.75">
      <c r="H569" s="128"/>
    </row>
    <row r="570" ht="12.75">
      <c r="H570" s="128"/>
    </row>
    <row r="571" ht="12.75">
      <c r="H571" s="128"/>
    </row>
    <row r="572" ht="12.75">
      <c r="H572" s="128"/>
    </row>
    <row r="573" ht="12.75">
      <c r="H573" s="128"/>
    </row>
    <row r="574" ht="12.75">
      <c r="H574" s="128"/>
    </row>
    <row r="575" ht="12.75">
      <c r="H575" s="128"/>
    </row>
    <row r="576" ht="12.75">
      <c r="H576" s="128"/>
    </row>
    <row r="577" ht="12.75">
      <c r="H577" s="128"/>
    </row>
    <row r="578" ht="12.75">
      <c r="H578" s="128"/>
    </row>
    <row r="579" ht="12.75">
      <c r="H579" s="128"/>
    </row>
    <row r="580" ht="12.75">
      <c r="H580" s="128"/>
    </row>
    <row r="581" ht="12.75">
      <c r="H581" s="128"/>
    </row>
    <row r="582" ht="12.75">
      <c r="H582" s="128"/>
    </row>
    <row r="583" ht="12.75">
      <c r="H583" s="128"/>
    </row>
    <row r="584" ht="12.75">
      <c r="H584" s="128"/>
    </row>
    <row r="585" ht="12.75">
      <c r="H585" s="128"/>
    </row>
    <row r="586" ht="12.75">
      <c r="H586" s="128"/>
    </row>
    <row r="587" ht="12.75">
      <c r="H587" s="128"/>
    </row>
    <row r="588" ht="12.75">
      <c r="H588" s="128"/>
    </row>
    <row r="589" ht="12.75">
      <c r="H589" s="128"/>
    </row>
    <row r="590" ht="12.75">
      <c r="H590" s="128"/>
    </row>
    <row r="591" ht="12.75">
      <c r="H591" s="128"/>
    </row>
    <row r="592" ht="12.75">
      <c r="H592" s="128"/>
    </row>
    <row r="593" ht="12.75">
      <c r="H593" s="128"/>
    </row>
    <row r="594" ht="12.75">
      <c r="H594" s="128"/>
    </row>
    <row r="595" ht="12.75">
      <c r="H595" s="128"/>
    </row>
    <row r="596" ht="12.75">
      <c r="H596" s="128"/>
    </row>
    <row r="597" ht="12.75">
      <c r="H597" s="128"/>
    </row>
    <row r="598" ht="12.75">
      <c r="H598" s="128"/>
    </row>
    <row r="599" ht="12.75">
      <c r="H599" s="128"/>
    </row>
    <row r="600" ht="12.75">
      <c r="H600" s="128"/>
    </row>
    <row r="601" ht="12.75">
      <c r="H601" s="128"/>
    </row>
    <row r="602" ht="12.75">
      <c r="H602" s="128"/>
    </row>
    <row r="603" ht="12.75">
      <c r="H603" s="128"/>
    </row>
    <row r="604" ht="12.75">
      <c r="H604" s="128"/>
    </row>
    <row r="605" ht="12.75">
      <c r="H605" s="128"/>
    </row>
    <row r="606" ht="12.75">
      <c r="H606" s="128"/>
    </row>
    <row r="607" ht="12.75">
      <c r="H607" s="128"/>
    </row>
    <row r="608" ht="12.75">
      <c r="H608" s="128"/>
    </row>
    <row r="609" ht="12.75">
      <c r="H609" s="128"/>
    </row>
    <row r="610" ht="12.75">
      <c r="H610" s="128"/>
    </row>
    <row r="611" ht="12.75">
      <c r="H611" s="128"/>
    </row>
    <row r="612" ht="12.75">
      <c r="H612" s="128"/>
    </row>
    <row r="613" ht="12.75">
      <c r="H613" s="128"/>
    </row>
    <row r="614" ht="12.75">
      <c r="H614" s="128"/>
    </row>
    <row r="615" ht="12.75">
      <c r="H615" s="128"/>
    </row>
    <row r="616" ht="12.75">
      <c r="H616" s="128"/>
    </row>
    <row r="617" ht="12.75">
      <c r="H617" s="128"/>
    </row>
    <row r="618" ht="12.75">
      <c r="H618" s="128"/>
    </row>
    <row r="619" ht="12.75">
      <c r="H619" s="128"/>
    </row>
    <row r="620" ht="12.75">
      <c r="H620" s="128"/>
    </row>
    <row r="621" ht="12.75">
      <c r="H621" s="128"/>
    </row>
    <row r="622" ht="12.75">
      <c r="H622" s="128"/>
    </row>
    <row r="623" ht="12.75">
      <c r="H623" s="128"/>
    </row>
    <row r="624" ht="12.75">
      <c r="H624" s="128"/>
    </row>
    <row r="625" ht="12.75">
      <c r="H625" s="128"/>
    </row>
    <row r="626" ht="12.75">
      <c r="H626" s="128"/>
    </row>
    <row r="627" ht="12.75">
      <c r="H627" s="128"/>
    </row>
    <row r="628" ht="12.75">
      <c r="H628" s="128"/>
    </row>
    <row r="629" ht="12.75">
      <c r="H629" s="128"/>
    </row>
    <row r="630" ht="12.75">
      <c r="H630" s="128"/>
    </row>
    <row r="631" ht="12.75">
      <c r="H631" s="128"/>
    </row>
    <row r="632" ht="12.75">
      <c r="H632" s="128"/>
    </row>
    <row r="633" ht="12.75">
      <c r="H633" s="128"/>
    </row>
    <row r="634" ht="12.75">
      <c r="H634" s="128"/>
    </row>
    <row r="635" ht="12.75">
      <c r="H635" s="128"/>
    </row>
    <row r="636" ht="12.75">
      <c r="H636" s="128"/>
    </row>
    <row r="637" ht="12.75">
      <c r="H637" s="128"/>
    </row>
    <row r="638" ht="12.75">
      <c r="H638" s="128"/>
    </row>
    <row r="639" ht="12.75">
      <c r="H639" s="128"/>
    </row>
    <row r="640" ht="12.75">
      <c r="H640" s="128"/>
    </row>
    <row r="641" ht="12.75">
      <c r="H641" s="128"/>
    </row>
    <row r="642" ht="12.75">
      <c r="H642" s="128"/>
    </row>
    <row r="643" ht="12.75">
      <c r="H643" s="128"/>
    </row>
    <row r="644" ht="12.75">
      <c r="H644" s="128"/>
    </row>
    <row r="645" ht="12.75">
      <c r="H645" s="128"/>
    </row>
    <row r="646" ht="12.75">
      <c r="H646" s="128"/>
    </row>
    <row r="647" ht="12.75">
      <c r="H647" s="128"/>
    </row>
    <row r="648" ht="12.75">
      <c r="H648" s="128"/>
    </row>
    <row r="649" ht="12.75">
      <c r="H649" s="128"/>
    </row>
    <row r="650" ht="12.75">
      <c r="H650" s="128"/>
    </row>
    <row r="651" ht="12.75">
      <c r="H651" s="128"/>
    </row>
    <row r="652" ht="12.75">
      <c r="H652" s="128"/>
    </row>
    <row r="653" ht="12.75">
      <c r="H653" s="128"/>
    </row>
    <row r="654" ht="12.75">
      <c r="H654" s="128"/>
    </row>
    <row r="655" ht="12.75">
      <c r="H655" s="128"/>
    </row>
    <row r="656" ht="12.75">
      <c r="H656" s="128"/>
    </row>
    <row r="657" ht="12.75">
      <c r="H657" s="128"/>
    </row>
    <row r="658" ht="12.75">
      <c r="H658" s="128"/>
    </row>
    <row r="659" ht="12.75">
      <c r="H659" s="128"/>
    </row>
    <row r="660" ht="12.75">
      <c r="H660" s="128"/>
    </row>
    <row r="661" ht="12.75">
      <c r="H661" s="128"/>
    </row>
    <row r="662" ht="12.75">
      <c r="H662" s="128"/>
    </row>
    <row r="663" ht="12.75">
      <c r="H663" s="128"/>
    </row>
    <row r="664" ht="12.75">
      <c r="H664" s="128"/>
    </row>
    <row r="665" ht="12.75">
      <c r="H665" s="128"/>
    </row>
    <row r="666" ht="12.75">
      <c r="H666" s="128"/>
    </row>
    <row r="667" ht="12.75">
      <c r="H667" s="128"/>
    </row>
    <row r="668" ht="12.75">
      <c r="H668" s="128"/>
    </row>
    <row r="669" ht="12.75">
      <c r="H669" s="128"/>
    </row>
    <row r="670" ht="12.75">
      <c r="H670" s="128"/>
    </row>
    <row r="671" ht="12.75">
      <c r="H671" s="128"/>
    </row>
    <row r="672" ht="12.75">
      <c r="H672" s="128"/>
    </row>
    <row r="673" ht="12.75">
      <c r="H673" s="128"/>
    </row>
    <row r="674" ht="12.75">
      <c r="H674" s="128"/>
    </row>
    <row r="675" ht="12.75">
      <c r="H675" s="128"/>
    </row>
    <row r="676" ht="12.75">
      <c r="H676" s="128"/>
    </row>
    <row r="677" ht="12.75">
      <c r="H677" s="128"/>
    </row>
    <row r="678" ht="12.75">
      <c r="H678" s="128"/>
    </row>
    <row r="679" ht="12.75">
      <c r="H679" s="128"/>
    </row>
    <row r="680" ht="12.75">
      <c r="H680" s="128"/>
    </row>
    <row r="681" ht="12.75">
      <c r="H681" s="128"/>
    </row>
    <row r="682" ht="12.75">
      <c r="H682" s="128"/>
    </row>
    <row r="683" ht="12.75">
      <c r="H683" s="128"/>
    </row>
    <row r="684" ht="12.75">
      <c r="H684" s="128"/>
    </row>
    <row r="685" ht="12.75">
      <c r="H685" s="128"/>
    </row>
    <row r="686" ht="12.75">
      <c r="H686" s="128"/>
    </row>
    <row r="687" ht="12.75">
      <c r="H687" s="128"/>
    </row>
    <row r="688" ht="12.75">
      <c r="H688" s="128"/>
    </row>
    <row r="689" ht="12.75">
      <c r="H689" s="128"/>
    </row>
    <row r="690" ht="12.75">
      <c r="H690" s="128"/>
    </row>
    <row r="691" ht="12.75">
      <c r="H691" s="128"/>
    </row>
    <row r="692" ht="12.75">
      <c r="H692" s="128"/>
    </row>
    <row r="693" ht="12.75">
      <c r="H693" s="128"/>
    </row>
    <row r="694" ht="12.75">
      <c r="H694" s="128"/>
    </row>
    <row r="695" ht="12.75">
      <c r="H695" s="128"/>
    </row>
    <row r="696" ht="12.75">
      <c r="H696" s="128"/>
    </row>
    <row r="697" ht="12.75">
      <c r="H697" s="128"/>
    </row>
    <row r="698" ht="12.75">
      <c r="H698" s="128"/>
    </row>
    <row r="699" ht="12.75">
      <c r="H699" s="128"/>
    </row>
  </sheetData>
  <sheetProtection/>
  <printOptions/>
  <pageMargins left="0.55" right="0.32" top="0.59" bottom="1" header="0.5" footer="0.5"/>
  <pageSetup horizontalDpi="600" verticalDpi="600" orientation="portrait" paperSize="9" scale="55" r:id="rId2"/>
  <drawing r:id="rId1"/>
</worksheet>
</file>

<file path=xl/worksheets/sheet14.xml><?xml version="1.0" encoding="utf-8"?>
<worksheet xmlns="http://schemas.openxmlformats.org/spreadsheetml/2006/main" xmlns:r="http://schemas.openxmlformats.org/officeDocument/2006/relationships">
  <dimension ref="A1:AS242"/>
  <sheetViews>
    <sheetView zoomScalePageLayoutView="0" workbookViewId="0" topLeftCell="A1">
      <pane xSplit="2" ySplit="5" topLeftCell="C179" activePane="bottomRight" state="frozen"/>
      <selection pane="topLeft" activeCell="A1" sqref="A1"/>
      <selection pane="topRight" activeCell="C1" sqref="C1"/>
      <selection pane="bottomLeft" activeCell="A6" sqref="A6"/>
      <selection pane="bottomRight" activeCell="A179" sqref="A179"/>
    </sheetView>
  </sheetViews>
  <sheetFormatPr defaultColWidth="9.140625" defaultRowHeight="12.75"/>
  <cols>
    <col min="1" max="1" width="5.421875" style="39" customWidth="1"/>
    <col min="2" max="2" width="55.7109375" style="129" customWidth="1"/>
    <col min="3" max="3" width="15.421875" style="129" customWidth="1"/>
    <col min="4" max="4" width="13.7109375" style="129" bestFit="1" customWidth="1"/>
    <col min="5" max="5" width="12.57421875" style="129" bestFit="1" customWidth="1"/>
    <col min="6" max="6" width="12.7109375" style="129" bestFit="1" customWidth="1"/>
    <col min="7" max="7" width="11.57421875" style="129" bestFit="1" customWidth="1"/>
    <col min="8" max="8" width="11.7109375" style="129" bestFit="1" customWidth="1"/>
    <col min="9" max="9" width="12.7109375" style="245" bestFit="1" customWidth="1"/>
    <col min="10" max="16384" width="9.140625" style="129" customWidth="1"/>
  </cols>
  <sheetData>
    <row r="1" ht="12.75">
      <c r="A1" s="244" t="s">
        <v>71</v>
      </c>
    </row>
    <row r="2" ht="12.75">
      <c r="A2" s="244" t="s">
        <v>425</v>
      </c>
    </row>
    <row r="3" spans="4:8" ht="12.75">
      <c r="D3" s="130"/>
      <c r="E3" s="130"/>
      <c r="G3" s="453" t="s">
        <v>342</v>
      </c>
      <c r="H3" s="453"/>
    </row>
    <row r="4" spans="3:9" s="39" customFormat="1" ht="12.75">
      <c r="C4" s="39" t="s">
        <v>75</v>
      </c>
      <c r="D4" s="39" t="s">
        <v>40</v>
      </c>
      <c r="E4" s="39" t="s">
        <v>38</v>
      </c>
      <c r="F4" s="39" t="s">
        <v>343</v>
      </c>
      <c r="G4" s="39" t="s">
        <v>344</v>
      </c>
      <c r="H4" s="39" t="s">
        <v>345</v>
      </c>
      <c r="I4" s="246" t="s">
        <v>323</v>
      </c>
    </row>
    <row r="5" s="39" customFormat="1" ht="12.75">
      <c r="I5" s="246"/>
    </row>
    <row r="6" spans="1:9" s="39" customFormat="1" ht="12.75">
      <c r="A6" s="39">
        <v>1</v>
      </c>
      <c r="B6" s="244" t="s">
        <v>346</v>
      </c>
      <c r="H6" s="247"/>
      <c r="I6" s="246"/>
    </row>
    <row r="7" spans="2:9" s="39" customFormat="1" ht="12.75">
      <c r="B7" s="244" t="s">
        <v>347</v>
      </c>
      <c r="C7" s="247">
        <v>3223226</v>
      </c>
      <c r="D7" s="247">
        <v>35000</v>
      </c>
      <c r="E7" s="247">
        <v>9723226</v>
      </c>
      <c r="F7" s="247">
        <f>SUM(C7:E7)</f>
        <v>12981452</v>
      </c>
      <c r="G7" s="247">
        <v>3258226</v>
      </c>
      <c r="H7" s="247"/>
      <c r="I7" s="248">
        <f>F7-G7+H7</f>
        <v>9723226</v>
      </c>
    </row>
    <row r="8" spans="2:9" s="39" customFormat="1" ht="12.75">
      <c r="B8" s="249" t="s">
        <v>348</v>
      </c>
      <c r="C8" s="250">
        <v>0</v>
      </c>
      <c r="D8" s="250">
        <v>0</v>
      </c>
      <c r="E8" s="250">
        <v>0</v>
      </c>
      <c r="F8" s="250">
        <v>0</v>
      </c>
      <c r="I8" s="251">
        <f>F8+G8-H8</f>
        <v>0</v>
      </c>
    </row>
    <row r="9" spans="2:9" s="39" customFormat="1" ht="12.75">
      <c r="B9" s="252"/>
      <c r="C9" s="253"/>
      <c r="D9" s="253"/>
      <c r="E9" s="253"/>
      <c r="F9" s="253"/>
      <c r="I9" s="254"/>
    </row>
    <row r="10" spans="2:9" s="39" customFormat="1" ht="13.5" thickBot="1">
      <c r="B10" s="249" t="s">
        <v>349</v>
      </c>
      <c r="C10" s="255">
        <f>SUM(C7:C8)</f>
        <v>3223226</v>
      </c>
      <c r="D10" s="255">
        <f>SUM(D7:D8)</f>
        <v>35000</v>
      </c>
      <c r="E10" s="255">
        <f>SUM(E7:E8)</f>
        <v>9723226</v>
      </c>
      <c r="F10" s="255">
        <f>SUM(F7:F8)</f>
        <v>12981452</v>
      </c>
      <c r="I10" s="258">
        <f>SUM(I7:I8)</f>
        <v>9723226</v>
      </c>
    </row>
    <row r="11" spans="3:9" s="39" customFormat="1" ht="13.5" thickTop="1">
      <c r="C11" s="253"/>
      <c r="D11" s="253"/>
      <c r="E11" s="253"/>
      <c r="F11" s="253"/>
      <c r="I11" s="254"/>
    </row>
    <row r="12" spans="3:9" s="39" customFormat="1" ht="12.75">
      <c r="C12" s="253"/>
      <c r="D12" s="253"/>
      <c r="E12" s="253"/>
      <c r="F12" s="253"/>
      <c r="I12" s="254"/>
    </row>
    <row r="13" spans="1:9" s="39" customFormat="1" ht="12.75">
      <c r="A13" s="39">
        <v>2</v>
      </c>
      <c r="B13" s="244" t="s">
        <v>350</v>
      </c>
      <c r="C13" s="253"/>
      <c r="D13" s="253"/>
      <c r="E13" s="253"/>
      <c r="F13" s="253"/>
      <c r="I13" s="254"/>
    </row>
    <row r="14" spans="2:9" s="39" customFormat="1" ht="12.75">
      <c r="B14" s="130" t="s">
        <v>351</v>
      </c>
      <c r="C14" s="253">
        <v>0</v>
      </c>
      <c r="D14" s="253">
        <v>0</v>
      </c>
      <c r="E14" s="253">
        <v>0</v>
      </c>
      <c r="F14" s="253">
        <f>SUM(C14:E14)</f>
        <v>0</v>
      </c>
      <c r="I14" s="254">
        <f>SUM(F14:H14)</f>
        <v>0</v>
      </c>
    </row>
    <row r="15" spans="2:9" s="39" customFormat="1" ht="12.75">
      <c r="B15" s="130" t="s">
        <v>429</v>
      </c>
      <c r="C15" s="253">
        <v>0</v>
      </c>
      <c r="D15" s="253">
        <v>0</v>
      </c>
      <c r="E15" s="253">
        <f>3223226+2500000</f>
        <v>5723226</v>
      </c>
      <c r="F15" s="253">
        <f>SUM(C15:E15)</f>
        <v>5723226</v>
      </c>
      <c r="H15" s="247">
        <v>5723226</v>
      </c>
      <c r="I15" s="254">
        <f>+F15+G15-H15</f>
        <v>0</v>
      </c>
    </row>
    <row r="16" spans="2:9" s="39" customFormat="1" ht="12.75">
      <c r="B16" s="130" t="s">
        <v>352</v>
      </c>
      <c r="C16" s="253">
        <v>0</v>
      </c>
      <c r="D16" s="253">
        <v>0</v>
      </c>
      <c r="E16" s="253">
        <v>200000</v>
      </c>
      <c r="F16" s="253">
        <f>SUM(C16:E16)</f>
        <v>200000</v>
      </c>
      <c r="I16" s="254">
        <f>SUM(F16:H16)</f>
        <v>200000</v>
      </c>
    </row>
    <row r="17" spans="2:9" s="39" customFormat="1" ht="12.75">
      <c r="B17" s="129" t="s">
        <v>348</v>
      </c>
      <c r="C17" s="253">
        <v>0</v>
      </c>
      <c r="D17" s="253">
        <v>0</v>
      </c>
      <c r="E17" s="253">
        <v>0</v>
      </c>
      <c r="F17" s="253">
        <f>SUM(C17:E17)</f>
        <v>0</v>
      </c>
      <c r="I17" s="254">
        <f>SUM(F17:H17)</f>
        <v>0</v>
      </c>
    </row>
    <row r="18" spans="2:9" s="39" customFormat="1" ht="12.75">
      <c r="B18" s="129"/>
      <c r="C18" s="256"/>
      <c r="D18" s="256"/>
      <c r="E18" s="256"/>
      <c r="F18" s="256"/>
      <c r="I18" s="257"/>
    </row>
    <row r="19" spans="2:9" s="39" customFormat="1" ht="13.5" thickBot="1">
      <c r="B19" s="130" t="s">
        <v>349</v>
      </c>
      <c r="C19" s="255">
        <f>SUM(C14:C17)</f>
        <v>0</v>
      </c>
      <c r="D19" s="255">
        <f>SUM(D14:D17)</f>
        <v>0</v>
      </c>
      <c r="E19" s="255">
        <f>SUM(E14:E17)</f>
        <v>5923226</v>
      </c>
      <c r="F19" s="255">
        <f>SUM(F14:F17)</f>
        <v>5923226</v>
      </c>
      <c r="I19" s="258">
        <f>SUM(I14:I18)</f>
        <v>200000</v>
      </c>
    </row>
    <row r="20" spans="2:9" s="39" customFormat="1" ht="13.5" thickTop="1">
      <c r="B20" s="129"/>
      <c r="C20" s="253"/>
      <c r="D20" s="253"/>
      <c r="E20" s="253"/>
      <c r="F20" s="253"/>
      <c r="I20" s="254"/>
    </row>
    <row r="21" spans="2:9" s="39" customFormat="1" ht="12.75">
      <c r="B21" s="130" t="s">
        <v>426</v>
      </c>
      <c r="C21" s="247">
        <v>0</v>
      </c>
      <c r="D21" s="39">
        <v>0</v>
      </c>
      <c r="E21" s="39">
        <v>0</v>
      </c>
      <c r="F21" s="253">
        <f>SUM(C21:E21)</f>
        <v>0</v>
      </c>
      <c r="I21" s="248">
        <f>SUM(F21:H21)</f>
        <v>0</v>
      </c>
    </row>
    <row r="22" spans="2:9" s="39" customFormat="1" ht="12.75">
      <c r="B22" s="130"/>
      <c r="C22" s="247"/>
      <c r="F22" s="253"/>
      <c r="I22" s="248"/>
    </row>
    <row r="23" spans="2:9" s="39" customFormat="1" ht="12.75">
      <c r="B23" s="130"/>
      <c r="C23" s="247"/>
      <c r="F23" s="253"/>
      <c r="I23" s="248"/>
    </row>
    <row r="24" spans="1:9" s="39" customFormat="1" ht="12.75">
      <c r="A24" s="39">
        <v>3</v>
      </c>
      <c r="B24" s="80" t="s">
        <v>427</v>
      </c>
      <c r="C24" s="247"/>
      <c r="F24" s="253"/>
      <c r="I24" s="248"/>
    </row>
    <row r="25" spans="1:9" ht="12.75">
      <c r="A25" s="80"/>
      <c r="B25" s="130" t="s">
        <v>355</v>
      </c>
      <c r="C25" s="131">
        <v>0</v>
      </c>
      <c r="D25" s="131">
        <v>0</v>
      </c>
      <c r="E25" s="131">
        <v>0</v>
      </c>
      <c r="F25" s="131">
        <f>SUM(C25:E25)</f>
        <v>0</v>
      </c>
      <c r="I25" s="245">
        <f>SUM(F25:H25)</f>
        <v>0</v>
      </c>
    </row>
    <row r="26" spans="1:9" ht="12.75">
      <c r="A26" s="80"/>
      <c r="B26" s="130" t="s">
        <v>356</v>
      </c>
      <c r="C26" s="131">
        <v>0</v>
      </c>
      <c r="D26" s="131">
        <v>90000</v>
      </c>
      <c r="E26" s="131">
        <v>0</v>
      </c>
      <c r="F26" s="131">
        <f>SUM(C26:E26)</f>
        <v>90000</v>
      </c>
      <c r="I26" s="245">
        <f>SUM(F26:H26)</f>
        <v>90000</v>
      </c>
    </row>
    <row r="27" spans="1:9" ht="12.75">
      <c r="A27" s="80"/>
      <c r="B27" s="130" t="s">
        <v>428</v>
      </c>
      <c r="C27" s="131">
        <v>0</v>
      </c>
      <c r="D27" s="131">
        <v>0</v>
      </c>
      <c r="E27" s="131">
        <v>0</v>
      </c>
      <c r="F27" s="131">
        <f>SUM(C27:E27)</f>
        <v>0</v>
      </c>
      <c r="I27" s="245">
        <f>SUM(F27:H27)</f>
        <v>0</v>
      </c>
    </row>
    <row r="28" spans="1:9" ht="12.75">
      <c r="A28" s="80"/>
      <c r="C28" s="261"/>
      <c r="D28" s="261"/>
      <c r="E28" s="261"/>
      <c r="F28" s="261"/>
      <c r="I28" s="262"/>
    </row>
    <row r="29" spans="1:9" ht="13.5" thickBot="1">
      <c r="A29" s="80"/>
      <c r="B29" s="130" t="s">
        <v>357</v>
      </c>
      <c r="C29" s="133">
        <f>SUM(C25:C28)</f>
        <v>0</v>
      </c>
      <c r="D29" s="133">
        <f>SUM(D25:D28)</f>
        <v>90000</v>
      </c>
      <c r="E29" s="133">
        <f>SUM(E25:E28)</f>
        <v>0</v>
      </c>
      <c r="F29" s="133">
        <f>SUM(F25:F28)</f>
        <v>90000</v>
      </c>
      <c r="I29" s="263">
        <f>SUM(I25:I28)</f>
        <v>90000</v>
      </c>
    </row>
    <row r="30" spans="2:9" s="39" customFormat="1" ht="13.5" thickTop="1">
      <c r="B30" s="130"/>
      <c r="C30" s="247"/>
      <c r="F30" s="253"/>
      <c r="I30" s="248"/>
    </row>
    <row r="31" spans="2:9" s="39" customFormat="1" ht="12.75">
      <c r="B31" s="130"/>
      <c r="C31" s="247"/>
      <c r="F31" s="253"/>
      <c r="I31" s="248"/>
    </row>
    <row r="32" spans="1:9" ht="12.75">
      <c r="A32" s="80">
        <v>4</v>
      </c>
      <c r="B32" s="80" t="s">
        <v>353</v>
      </c>
      <c r="C32" s="131"/>
      <c r="D32" s="131"/>
      <c r="E32" s="131"/>
      <c r="F32" s="131"/>
      <c r="G32" s="131"/>
      <c r="H32" s="131"/>
      <c r="I32" s="259"/>
    </row>
    <row r="33" spans="1:9" ht="12.75">
      <c r="A33" s="80"/>
      <c r="C33" s="131"/>
      <c r="D33" s="131"/>
      <c r="E33" s="131"/>
      <c r="F33" s="131"/>
      <c r="G33" s="131"/>
      <c r="H33" s="131"/>
      <c r="I33" s="259"/>
    </row>
    <row r="34" spans="1:9" ht="12.75">
      <c r="A34" s="80"/>
      <c r="B34" s="130" t="s">
        <v>354</v>
      </c>
      <c r="C34" s="131"/>
      <c r="D34" s="131"/>
      <c r="E34" s="131"/>
      <c r="F34" s="131"/>
      <c r="G34" s="260"/>
      <c r="H34" s="131"/>
      <c r="I34" s="259"/>
    </row>
    <row r="35" spans="1:9" ht="12.75">
      <c r="A35" s="80"/>
      <c r="B35" s="130" t="s">
        <v>355</v>
      </c>
      <c r="C35" s="131">
        <v>0</v>
      </c>
      <c r="D35" s="131">
        <v>0</v>
      </c>
      <c r="E35" s="131">
        <v>0</v>
      </c>
      <c r="F35" s="131">
        <f>SUM(C35:E35)</f>
        <v>0</v>
      </c>
      <c r="I35" s="245">
        <f>SUM(F35:H35)</f>
        <v>0</v>
      </c>
    </row>
    <row r="36" spans="1:9" ht="12.75">
      <c r="A36" s="80"/>
      <c r="B36" s="130" t="s">
        <v>356</v>
      </c>
      <c r="C36" s="131">
        <v>0</v>
      </c>
      <c r="D36" s="131">
        <v>0</v>
      </c>
      <c r="E36" s="131">
        <v>0</v>
      </c>
      <c r="F36" s="131">
        <f>SUM(C36:E36)</f>
        <v>0</v>
      </c>
      <c r="G36" s="129">
        <v>1747390.89</v>
      </c>
      <c r="H36" s="129">
        <v>116493</v>
      </c>
      <c r="I36" s="245">
        <f>+F36+G36-H36</f>
        <v>1630897.89</v>
      </c>
    </row>
    <row r="37" spans="1:9" ht="12.75">
      <c r="A37" s="80"/>
      <c r="C37" s="261"/>
      <c r="D37" s="261"/>
      <c r="E37" s="261"/>
      <c r="F37" s="261"/>
      <c r="I37" s="262"/>
    </row>
    <row r="38" spans="1:9" ht="13.5" thickBot="1">
      <c r="A38" s="80"/>
      <c r="B38" s="130" t="s">
        <v>357</v>
      </c>
      <c r="C38" s="133">
        <f>SUM(C35:C37)</f>
        <v>0</v>
      </c>
      <c r="D38" s="133">
        <f>SUM(D35:D37)</f>
        <v>0</v>
      </c>
      <c r="E38" s="133">
        <f>SUM(E35:E37)</f>
        <v>0</v>
      </c>
      <c r="F38" s="133">
        <f>SUM(F35:F37)</f>
        <v>0</v>
      </c>
      <c r="I38" s="263">
        <f>SUM(I35:I37)</f>
        <v>1630897.89</v>
      </c>
    </row>
    <row r="39" spans="2:9" s="39" customFormat="1" ht="13.5" thickTop="1">
      <c r="B39" s="130"/>
      <c r="F39" s="247"/>
      <c r="I39" s="248"/>
    </row>
    <row r="40" spans="2:9" s="39" customFormat="1" ht="12.75">
      <c r="B40" s="130"/>
      <c r="F40" s="247"/>
      <c r="I40" s="248"/>
    </row>
    <row r="41" spans="1:9" s="39" customFormat="1" ht="12.75">
      <c r="A41" s="39">
        <v>5</v>
      </c>
      <c r="B41" s="80" t="s">
        <v>466</v>
      </c>
      <c r="C41" s="129"/>
      <c r="D41" s="129"/>
      <c r="E41" s="129"/>
      <c r="F41" s="129"/>
      <c r="G41" s="129"/>
      <c r="H41" s="129"/>
      <c r="I41" s="245"/>
    </row>
    <row r="42" spans="1:9" s="39" customFormat="1" ht="12.75">
      <c r="A42" s="80"/>
      <c r="B42" s="130" t="s">
        <v>355</v>
      </c>
      <c r="C42" s="129">
        <v>0</v>
      </c>
      <c r="D42" s="129">
        <v>0</v>
      </c>
      <c r="E42" s="129">
        <v>0</v>
      </c>
      <c r="F42" s="129">
        <f>SUM(C42:E42)</f>
        <v>0</v>
      </c>
      <c r="G42" s="129"/>
      <c r="H42" s="129"/>
      <c r="I42" s="245">
        <f>SUM(F42:H42)</f>
        <v>0</v>
      </c>
    </row>
    <row r="43" spans="1:9" s="39" customFormat="1" ht="12.75">
      <c r="A43" s="80"/>
      <c r="B43" s="130" t="s">
        <v>356</v>
      </c>
      <c r="C43" s="129">
        <v>1518526</v>
      </c>
      <c r="D43" s="129">
        <v>0</v>
      </c>
      <c r="E43" s="129">
        <v>0</v>
      </c>
      <c r="F43" s="129">
        <f>SUM(C43:E43)</f>
        <v>1518526</v>
      </c>
      <c r="G43" s="129"/>
      <c r="H43" s="129"/>
      <c r="I43" s="245">
        <f>SUM(F43:H43)</f>
        <v>1518526</v>
      </c>
    </row>
    <row r="44" spans="1:9" s="39" customFormat="1" ht="12.75">
      <c r="A44" s="80"/>
      <c r="B44" s="130"/>
      <c r="C44" s="129"/>
      <c r="D44" s="129"/>
      <c r="E44" s="129"/>
      <c r="F44" s="129"/>
      <c r="G44" s="129"/>
      <c r="H44" s="129"/>
      <c r="I44" s="245"/>
    </row>
    <row r="45" spans="1:9" s="39" customFormat="1" ht="13.5" thickBot="1">
      <c r="A45" s="80"/>
      <c r="B45" s="130" t="s">
        <v>357</v>
      </c>
      <c r="C45" s="134">
        <f>SUM(C42:C44)</f>
        <v>1518526</v>
      </c>
      <c r="D45" s="134">
        <f>SUM(D42:D44)</f>
        <v>0</v>
      </c>
      <c r="E45" s="134">
        <f>SUM(E42:E44)</f>
        <v>0</v>
      </c>
      <c r="F45" s="134">
        <f>SUM(F42:F44)</f>
        <v>1518526</v>
      </c>
      <c r="G45" s="131"/>
      <c r="H45" s="131"/>
      <c r="I45" s="265">
        <f>SUM(I42:I44)</f>
        <v>1518526</v>
      </c>
    </row>
    <row r="46" spans="1:9" s="39" customFormat="1" ht="13.5" thickTop="1">
      <c r="A46" s="80"/>
      <c r="B46" s="129"/>
      <c r="C46" s="129"/>
      <c r="D46" s="129"/>
      <c r="E46" s="129"/>
      <c r="F46" s="129"/>
      <c r="G46" s="129"/>
      <c r="H46" s="129"/>
      <c r="I46" s="245"/>
    </row>
    <row r="47" spans="1:9" s="39" customFormat="1" ht="12.75">
      <c r="A47" s="80"/>
      <c r="B47" s="129"/>
      <c r="C47" s="129"/>
      <c r="D47" s="129"/>
      <c r="E47" s="129"/>
      <c r="F47" s="129"/>
      <c r="G47" s="129"/>
      <c r="H47" s="129"/>
      <c r="I47" s="245"/>
    </row>
    <row r="48" spans="1:9" s="39" customFormat="1" ht="12.75">
      <c r="A48" s="39">
        <v>6</v>
      </c>
      <c r="B48" s="80" t="s">
        <v>250</v>
      </c>
      <c r="C48" s="129"/>
      <c r="D48" s="129"/>
      <c r="E48" s="129"/>
      <c r="F48" s="129"/>
      <c r="G48" s="129"/>
      <c r="I48" s="245"/>
    </row>
    <row r="49" spans="1:9" s="39" customFormat="1" ht="12.75">
      <c r="A49" s="80"/>
      <c r="B49" s="130" t="s">
        <v>26</v>
      </c>
      <c r="C49" s="131">
        <f>+'Balance Sheet'!C22</f>
        <v>533434.47</v>
      </c>
      <c r="D49" s="131">
        <f>+'Balance Sheet'!D22</f>
        <v>1107936.22</v>
      </c>
      <c r="E49" s="131">
        <f>+'Balance Sheet'!B22</f>
        <v>2490</v>
      </c>
      <c r="F49" s="131">
        <f>SUM(C49:E49)</f>
        <v>1643860.69</v>
      </c>
      <c r="G49" s="129"/>
      <c r="H49" s="129">
        <f>'Balance Sheet'!H22</f>
        <v>990312.51</v>
      </c>
      <c r="I49" s="245">
        <f>F49+G49-H49</f>
        <v>653548.1799999999</v>
      </c>
    </row>
    <row r="50" spans="1:9" s="39" customFormat="1" ht="12.75">
      <c r="A50" s="80"/>
      <c r="B50" s="129" t="s">
        <v>251</v>
      </c>
      <c r="C50" s="132">
        <v>0</v>
      </c>
      <c r="D50" s="132">
        <v>0</v>
      </c>
      <c r="E50" s="132">
        <v>0</v>
      </c>
      <c r="F50" s="132">
        <f>SUM(C50:E50)</f>
        <v>0</v>
      </c>
      <c r="G50" s="129"/>
      <c r="H50" s="129"/>
      <c r="I50" s="264">
        <f>SUM(F50:H50)</f>
        <v>0</v>
      </c>
    </row>
    <row r="51" spans="1:9" s="39" customFormat="1" ht="12.75">
      <c r="A51" s="80"/>
      <c r="B51" s="129"/>
      <c r="C51" s="131"/>
      <c r="D51" s="131"/>
      <c r="E51" s="131"/>
      <c r="F51" s="131"/>
      <c r="G51" s="129"/>
      <c r="H51" s="129"/>
      <c r="I51" s="259"/>
    </row>
    <row r="52" spans="1:9" s="39" customFormat="1" ht="13.5" thickBot="1">
      <c r="A52" s="80"/>
      <c r="B52" s="129" t="s">
        <v>252</v>
      </c>
      <c r="C52" s="133">
        <f>SUM(C49:C50)</f>
        <v>533434.47</v>
      </c>
      <c r="D52" s="133">
        <f>SUM(D49:D50)</f>
        <v>1107936.22</v>
      </c>
      <c r="E52" s="133">
        <f>SUM(E49:E50)</f>
        <v>2490</v>
      </c>
      <c r="F52" s="133">
        <f>SUM(F49:F50)</f>
        <v>1643860.69</v>
      </c>
      <c r="G52" s="131"/>
      <c r="H52" s="131"/>
      <c r="I52" s="263">
        <f>SUM(I49:I51)</f>
        <v>653548.1799999999</v>
      </c>
    </row>
    <row r="53" spans="1:9" s="39" customFormat="1" ht="13.5" thickTop="1">
      <c r="A53" s="80"/>
      <c r="B53" s="129"/>
      <c r="C53" s="131"/>
      <c r="D53" s="131"/>
      <c r="E53" s="131"/>
      <c r="F53" s="131"/>
      <c r="G53" s="131"/>
      <c r="H53" s="131"/>
      <c r="I53" s="259"/>
    </row>
    <row r="54" spans="1:9" s="39" customFormat="1" ht="12.75">
      <c r="A54" s="80"/>
      <c r="B54" s="129"/>
      <c r="C54" s="131"/>
      <c r="D54" s="131"/>
      <c r="E54" s="131"/>
      <c r="F54" s="131"/>
      <c r="G54" s="131"/>
      <c r="H54" s="131"/>
      <c r="I54" s="259"/>
    </row>
    <row r="55" spans="1:9" s="39" customFormat="1" ht="12.75">
      <c r="A55" s="39">
        <v>7</v>
      </c>
      <c r="B55" s="80" t="s">
        <v>253</v>
      </c>
      <c r="C55" s="129"/>
      <c r="D55" s="129"/>
      <c r="E55" s="129"/>
      <c r="F55" s="129"/>
      <c r="G55" s="129"/>
      <c r="H55" s="129"/>
      <c r="I55" s="245"/>
    </row>
    <row r="56" spans="1:9" ht="12.75">
      <c r="A56" s="80"/>
      <c r="B56" s="130" t="s">
        <v>41</v>
      </c>
      <c r="C56" s="129">
        <v>4000</v>
      </c>
      <c r="D56" s="129">
        <v>0</v>
      </c>
      <c r="E56" s="129">
        <v>12000</v>
      </c>
      <c r="F56" s="129">
        <f>SUM(C56:E56)</f>
        <v>16000</v>
      </c>
      <c r="I56" s="245">
        <f>SUM(F56:H56)</f>
        <v>16000</v>
      </c>
    </row>
    <row r="57" spans="1:9" ht="12.75">
      <c r="A57" s="80"/>
      <c r="B57" s="130" t="s">
        <v>430</v>
      </c>
      <c r="C57" s="129">
        <f>8758.7-25690.7</f>
        <v>-16932</v>
      </c>
      <c r="D57" s="129">
        <v>0</v>
      </c>
      <c r="E57" s="129">
        <v>0</v>
      </c>
      <c r="F57" s="129">
        <f>SUM(C57:E57)</f>
        <v>-16932</v>
      </c>
      <c r="I57" s="245">
        <f>SUM(F57:H57)</f>
        <v>-16932</v>
      </c>
    </row>
    <row r="58" spans="1:9" ht="12.75">
      <c r="A58" s="80"/>
      <c r="B58" s="130" t="s">
        <v>431</v>
      </c>
      <c r="C58" s="129">
        <f>190100.19-52000-116</f>
        <v>137984.19</v>
      </c>
      <c r="D58" s="129">
        <v>5400</v>
      </c>
      <c r="E58" s="129">
        <v>0</v>
      </c>
      <c r="F58" s="129">
        <f>SUM(C58:E58)</f>
        <v>143384.19</v>
      </c>
      <c r="I58" s="245">
        <f>SUM(F58:H58)</f>
        <v>143384.19</v>
      </c>
    </row>
    <row r="59" spans="1:9" ht="12.75">
      <c r="A59" s="80"/>
      <c r="B59" s="129" t="s">
        <v>254</v>
      </c>
      <c r="C59" s="129">
        <v>53708</v>
      </c>
      <c r="D59" s="129">
        <v>0</v>
      </c>
      <c r="E59" s="129">
        <v>0</v>
      </c>
      <c r="F59" s="129">
        <f>SUM(C59:E59)</f>
        <v>53708</v>
      </c>
      <c r="I59" s="245">
        <f>SUM(F59:H59)</f>
        <v>53708</v>
      </c>
    </row>
    <row r="60" spans="1:9" ht="12.75">
      <c r="A60" s="80"/>
      <c r="B60" s="129" t="s">
        <v>255</v>
      </c>
      <c r="C60" s="132">
        <v>0</v>
      </c>
      <c r="D60" s="132">
        <v>0</v>
      </c>
      <c r="E60" s="132">
        <v>0</v>
      </c>
      <c r="F60" s="132">
        <f>SUM(C60:E60)</f>
        <v>0</v>
      </c>
      <c r="G60" s="131"/>
      <c r="H60" s="131"/>
      <c r="I60" s="264">
        <f>SUM(F60:H60)</f>
        <v>0</v>
      </c>
    </row>
    <row r="61" spans="1:9" ht="12.75">
      <c r="A61" s="80"/>
      <c r="C61" s="129">
        <f>SUM(C56:C60)</f>
        <v>178760.19</v>
      </c>
      <c r="D61" s="129">
        <f>SUM(D56:D60)</f>
        <v>5400</v>
      </c>
      <c r="E61" s="129">
        <f>SUM(E56:E60)</f>
        <v>12000</v>
      </c>
      <c r="F61" s="129">
        <f>SUM(F56:F60)</f>
        <v>196160.19</v>
      </c>
      <c r="G61" s="131"/>
      <c r="H61" s="131"/>
      <c r="I61" s="245">
        <f>SUM(I56:I60)</f>
        <v>196160.19</v>
      </c>
    </row>
    <row r="62" spans="1:9" ht="12.75">
      <c r="A62" s="80"/>
      <c r="B62" s="129" t="s">
        <v>251</v>
      </c>
      <c r="C62" s="129">
        <v>0</v>
      </c>
      <c r="D62" s="129">
        <v>0</v>
      </c>
      <c r="E62" s="129">
        <v>0</v>
      </c>
      <c r="F62" s="129">
        <f>SUM(C62:E62)</f>
        <v>0</v>
      </c>
      <c r="G62" s="131"/>
      <c r="H62" s="131"/>
      <c r="I62" s="245">
        <f>SUM(F62:H62)</f>
        <v>0</v>
      </c>
    </row>
    <row r="63" spans="1:9" ht="13.5" thickBot="1">
      <c r="A63" s="80"/>
      <c r="C63" s="134">
        <f>C61+C62</f>
        <v>178760.19</v>
      </c>
      <c r="D63" s="134">
        <f>D61+D62</f>
        <v>5400</v>
      </c>
      <c r="E63" s="134">
        <f>E61+E62</f>
        <v>12000</v>
      </c>
      <c r="F63" s="134">
        <f>F61+F62</f>
        <v>196160.19</v>
      </c>
      <c r="G63" s="131"/>
      <c r="H63" s="131"/>
      <c r="I63" s="265">
        <f>I61+I62</f>
        <v>196160.19</v>
      </c>
    </row>
    <row r="64" spans="1:9" ht="13.5" thickTop="1">
      <c r="A64" s="80"/>
      <c r="C64" s="131"/>
      <c r="D64" s="131"/>
      <c r="E64" s="131"/>
      <c r="F64" s="131"/>
      <c r="G64" s="131"/>
      <c r="H64" s="131"/>
      <c r="I64" s="259"/>
    </row>
    <row r="65" spans="1:9" ht="12.75">
      <c r="A65" s="80"/>
      <c r="B65" s="130" t="s">
        <v>256</v>
      </c>
      <c r="C65" s="131">
        <f>2491000+116</f>
        <v>2491116</v>
      </c>
      <c r="D65" s="131">
        <f>394646.16-40000</f>
        <v>354646.16</v>
      </c>
      <c r="E65" s="131">
        <v>0</v>
      </c>
      <c r="F65" s="131">
        <f>SUM(C65:E65)</f>
        <v>2845762.16</v>
      </c>
      <c r="G65" s="131"/>
      <c r="H65" s="131">
        <v>2885646</v>
      </c>
      <c r="I65" s="259">
        <f>+F65+G65-H65</f>
        <v>-39883.83999999985</v>
      </c>
    </row>
    <row r="66" spans="1:9" ht="12.75">
      <c r="A66" s="80"/>
      <c r="B66" s="130"/>
      <c r="C66" s="131"/>
      <c r="D66" s="131"/>
      <c r="E66" s="131"/>
      <c r="F66" s="131"/>
      <c r="G66" s="131"/>
      <c r="H66" s="131"/>
      <c r="I66" s="259"/>
    </row>
    <row r="67" spans="1:9" ht="12.75">
      <c r="A67" s="80"/>
      <c r="B67" s="130"/>
      <c r="C67" s="131"/>
      <c r="D67" s="131"/>
      <c r="E67" s="131"/>
      <c r="F67" s="131"/>
      <c r="G67" s="131"/>
      <c r="H67" s="131"/>
      <c r="I67" s="259"/>
    </row>
    <row r="68" spans="1:9" ht="12.75">
      <c r="A68" s="80">
        <v>8</v>
      </c>
      <c r="B68" s="80" t="s">
        <v>432</v>
      </c>
      <c r="C68" s="131"/>
      <c r="D68" s="131"/>
      <c r="E68" s="131"/>
      <c r="F68" s="131"/>
      <c r="G68" s="131"/>
      <c r="H68" s="131"/>
      <c r="I68" s="259"/>
    </row>
    <row r="69" spans="1:9" ht="12.75">
      <c r="A69" s="80"/>
      <c r="B69" s="130" t="s">
        <v>433</v>
      </c>
      <c r="C69" s="131">
        <v>1203379</v>
      </c>
      <c r="D69" s="131">
        <v>0</v>
      </c>
      <c r="E69" s="131">
        <v>303006</v>
      </c>
      <c r="F69" s="131">
        <f>SUM(C69:E69)</f>
        <v>1506385</v>
      </c>
      <c r="G69" s="131"/>
      <c r="H69" s="131"/>
      <c r="I69" s="259">
        <f>+F69+G69-H69</f>
        <v>1506385</v>
      </c>
    </row>
    <row r="70" spans="1:9" ht="12.75">
      <c r="A70" s="80"/>
      <c r="B70" s="130" t="s">
        <v>475</v>
      </c>
      <c r="C70" s="131">
        <v>25690.7</v>
      </c>
      <c r="D70" s="131">
        <v>0</v>
      </c>
      <c r="E70" s="131">
        <v>1002459.02</v>
      </c>
      <c r="F70" s="131">
        <f>SUM(C70:E70)</f>
        <v>1028149.72</v>
      </c>
      <c r="G70" s="131"/>
      <c r="H70" s="131"/>
      <c r="I70" s="259">
        <f>+F70+G70-H70</f>
        <v>1028149.72</v>
      </c>
    </row>
    <row r="71" spans="1:9" ht="12.75">
      <c r="A71" s="80"/>
      <c r="B71" s="130" t="s">
        <v>434</v>
      </c>
      <c r="C71" s="131">
        <v>5000000</v>
      </c>
      <c r="D71" s="131">
        <v>0</v>
      </c>
      <c r="E71" s="131">
        <f>5000000+5554377.91</f>
        <v>10554377.91</v>
      </c>
      <c r="F71" s="131">
        <f>SUM(C71:E71)</f>
        <v>15554377.91</v>
      </c>
      <c r="G71" s="131"/>
      <c r="H71" s="131"/>
      <c r="I71" s="259">
        <f>+F71+G71-H71</f>
        <v>15554377.91</v>
      </c>
    </row>
    <row r="72" spans="1:9" ht="13.5" thickBot="1">
      <c r="A72" s="80"/>
      <c r="B72" s="130"/>
      <c r="C72" s="134">
        <f>SUM(C69:C71)</f>
        <v>6229069.7</v>
      </c>
      <c r="D72" s="134">
        <f>SUM(D69:D71)</f>
        <v>0</v>
      </c>
      <c r="E72" s="134">
        <f>SUM(E69:E71)</f>
        <v>11859842.93</v>
      </c>
      <c r="F72" s="134">
        <f>SUM(F69:F71)</f>
        <v>18088912.63</v>
      </c>
      <c r="G72" s="131"/>
      <c r="H72" s="131"/>
      <c r="I72" s="265">
        <f>SUM(I69:I71)</f>
        <v>18088912.63</v>
      </c>
    </row>
    <row r="73" spans="1:9" ht="13.5" thickTop="1">
      <c r="A73" s="80"/>
      <c r="B73" s="130"/>
      <c r="C73" s="131"/>
      <c r="D73" s="131"/>
      <c r="E73" s="131"/>
      <c r="F73" s="131"/>
      <c r="G73" s="131"/>
      <c r="H73" s="131"/>
      <c r="I73" s="259"/>
    </row>
    <row r="74" spans="1:9" ht="12.75">
      <c r="A74" s="80"/>
      <c r="B74" s="130" t="s">
        <v>358</v>
      </c>
      <c r="C74" s="131">
        <v>0</v>
      </c>
      <c r="D74" s="131">
        <v>0</v>
      </c>
      <c r="E74" s="131">
        <v>0</v>
      </c>
      <c r="F74" s="131">
        <f>SUM(C74:E74)</f>
        <v>0</v>
      </c>
      <c r="G74" s="131"/>
      <c r="H74" s="131"/>
      <c r="I74" s="259">
        <v>0</v>
      </c>
    </row>
    <row r="75" spans="1:9" ht="12.75">
      <c r="A75" s="80"/>
      <c r="B75" s="130"/>
      <c r="C75" s="131"/>
      <c r="D75" s="131"/>
      <c r="E75" s="131"/>
      <c r="F75" s="131"/>
      <c r="G75" s="131"/>
      <c r="H75" s="131"/>
      <c r="I75" s="259"/>
    </row>
    <row r="76" ht="12.75">
      <c r="A76" s="80"/>
    </row>
    <row r="77" spans="1:2" ht="12.75">
      <c r="A77" s="80">
        <v>9</v>
      </c>
      <c r="B77" s="80" t="s">
        <v>257</v>
      </c>
    </row>
    <row r="78" spans="1:2" ht="12.75">
      <c r="A78" s="80"/>
      <c r="B78" s="130" t="s">
        <v>258</v>
      </c>
    </row>
    <row r="79" spans="1:9" ht="12.75">
      <c r="A79" s="80"/>
      <c r="B79" s="135">
        <v>-2004</v>
      </c>
      <c r="C79" s="129">
        <f>+'Balance Sheet'!C30</f>
        <v>1337631.54</v>
      </c>
      <c r="D79" s="129">
        <f>+'Balance Sheet'!D30</f>
        <v>368.46</v>
      </c>
      <c r="E79" s="129">
        <v>0</v>
      </c>
      <c r="F79" s="129">
        <f>SUM(C79:E79)</f>
        <v>1338000</v>
      </c>
      <c r="G79" s="129">
        <f>+'Balance Sheet'!F30</f>
        <v>766522.22</v>
      </c>
      <c r="I79" s="245">
        <f>+F79-G79+H79</f>
        <v>571477.78</v>
      </c>
    </row>
    <row r="80" spans="1:9" ht="12.75">
      <c r="A80" s="80"/>
      <c r="B80" s="135">
        <v>-2003</v>
      </c>
      <c r="C80" s="129">
        <v>795189</v>
      </c>
      <c r="D80" s="129">
        <v>0</v>
      </c>
      <c r="E80" s="129">
        <v>0</v>
      </c>
      <c r="F80" s="129">
        <f>SUM(C80:E80)</f>
        <v>795189</v>
      </c>
      <c r="I80" s="245">
        <f>SUM(F80:H80)</f>
        <v>795189</v>
      </c>
    </row>
    <row r="81" spans="1:2" ht="12.75">
      <c r="A81" s="80"/>
      <c r="B81" s="135"/>
    </row>
    <row r="82" ht="12.75">
      <c r="A82" s="80"/>
    </row>
    <row r="83" spans="1:8" ht="12.75">
      <c r="A83" s="80">
        <v>10</v>
      </c>
      <c r="B83" s="80" t="s">
        <v>435</v>
      </c>
      <c r="H83" s="39"/>
    </row>
    <row r="84" spans="1:9" ht="12.75">
      <c r="A84" s="80"/>
      <c r="B84" s="130" t="s">
        <v>259</v>
      </c>
      <c r="C84" s="129">
        <f>325877.54</f>
        <v>325877.54</v>
      </c>
      <c r="D84" s="129">
        <v>6150</v>
      </c>
      <c r="E84" s="129">
        <v>91120.04</v>
      </c>
      <c r="F84" s="19">
        <f>SUM(C84:E84)</f>
        <v>423147.57999999996</v>
      </c>
      <c r="G84" s="129">
        <f>53746.29+170044</f>
        <v>223790.29</v>
      </c>
      <c r="I84" s="245">
        <f>+F84-G84+H84</f>
        <v>199357.28999999995</v>
      </c>
    </row>
    <row r="85" spans="1:9" ht="12.75">
      <c r="A85" s="80"/>
      <c r="B85" s="129" t="s">
        <v>260</v>
      </c>
      <c r="C85" s="129">
        <f>369885.03-394646.16</f>
        <v>-24761.129999999946</v>
      </c>
      <c r="D85" s="129">
        <f>12908.33+950+1549+168.8</f>
        <v>15576.13</v>
      </c>
      <c r="E85" s="129">
        <v>39800</v>
      </c>
      <c r="F85" s="19">
        <f>SUM(C85:E85)</f>
        <v>30615.00000000005</v>
      </c>
      <c r="I85" s="245">
        <f>+F85-G85+H85</f>
        <v>30615.00000000005</v>
      </c>
    </row>
    <row r="86" spans="1:9" ht="12.75">
      <c r="A86" s="80"/>
      <c r="B86" s="129" t="s">
        <v>261</v>
      </c>
      <c r="C86" s="129">
        <v>0</v>
      </c>
      <c r="D86" s="129">
        <v>0</v>
      </c>
      <c r="E86" s="129">
        <v>0</v>
      </c>
      <c r="F86" s="19">
        <f>SUM(C86:E86)</f>
        <v>0</v>
      </c>
      <c r="I86" s="245">
        <f>SUM(F86:H86)</f>
        <v>0</v>
      </c>
    </row>
    <row r="87" spans="1:9" ht="12.75">
      <c r="A87" s="80"/>
      <c r="B87" s="130" t="s">
        <v>262</v>
      </c>
      <c r="C87" s="129">
        <v>0</v>
      </c>
      <c r="D87" s="129">
        <v>0</v>
      </c>
      <c r="E87" s="129">
        <v>0</v>
      </c>
      <c r="F87" s="19">
        <f>SUM(C87:E87)</f>
        <v>0</v>
      </c>
      <c r="I87" s="245">
        <f>SUM(F87:H87)</f>
        <v>0</v>
      </c>
    </row>
    <row r="88" spans="1:6" ht="12.75">
      <c r="A88" s="80"/>
      <c r="B88" s="130"/>
      <c r="F88" s="19">
        <f>SUM(C88:E88)</f>
        <v>0</v>
      </c>
    </row>
    <row r="89" spans="1:9" ht="13.5" thickBot="1">
      <c r="A89" s="80"/>
      <c r="C89" s="134">
        <f>SUM(C84:C88)</f>
        <v>301116.41000000003</v>
      </c>
      <c r="D89" s="134">
        <f>SUM(D84:D88)</f>
        <v>21726.129999999997</v>
      </c>
      <c r="E89" s="134">
        <f>SUM(E84:E88)</f>
        <v>130920.04</v>
      </c>
      <c r="F89" s="134">
        <f>SUM(F84:F87)</f>
        <v>453762.58</v>
      </c>
      <c r="G89" s="131"/>
      <c r="H89" s="131"/>
      <c r="I89" s="265">
        <f>SUM(I84:I87)</f>
        <v>229972.29</v>
      </c>
    </row>
    <row r="90" spans="1:9" ht="13.5" thickTop="1">
      <c r="A90" s="80"/>
      <c r="C90" s="131"/>
      <c r="D90" s="131"/>
      <c r="E90" s="131"/>
      <c r="F90" s="131"/>
      <c r="G90" s="131"/>
      <c r="H90" s="131"/>
      <c r="I90" s="259"/>
    </row>
    <row r="91" spans="1:8" ht="12.75">
      <c r="A91" s="80"/>
      <c r="B91" s="80" t="s">
        <v>436</v>
      </c>
      <c r="H91" s="39"/>
    </row>
    <row r="92" spans="1:9" ht="12.75">
      <c r="A92" s="80"/>
      <c r="B92" s="130" t="s">
        <v>259</v>
      </c>
      <c r="C92" s="129">
        <f>52523</f>
        <v>52523</v>
      </c>
      <c r="D92" s="129">
        <v>0</v>
      </c>
      <c r="E92" s="129">
        <v>22659</v>
      </c>
      <c r="F92" s="19">
        <f>SUM(C92:E92)</f>
        <v>75182</v>
      </c>
      <c r="I92" s="245">
        <f>SUM(F92:H92)</f>
        <v>75182</v>
      </c>
    </row>
    <row r="93" spans="1:9" ht="12.75">
      <c r="A93" s="80"/>
      <c r="B93" s="129" t="s">
        <v>260</v>
      </c>
      <c r="C93" s="129">
        <v>0</v>
      </c>
      <c r="D93" s="129">
        <v>3200</v>
      </c>
      <c r="E93" s="129">
        <v>1000</v>
      </c>
      <c r="F93" s="19">
        <f>SUM(C93:E93)</f>
        <v>4200</v>
      </c>
      <c r="I93" s="245">
        <f>SUM(F93:H93)</f>
        <v>4200</v>
      </c>
    </row>
    <row r="94" spans="1:9" ht="12.75">
      <c r="A94" s="80"/>
      <c r="B94" s="129" t="s">
        <v>261</v>
      </c>
      <c r="C94" s="129">
        <v>0</v>
      </c>
      <c r="D94" s="129">
        <v>0</v>
      </c>
      <c r="E94" s="129">
        <v>0</v>
      </c>
      <c r="F94" s="19">
        <f>SUM(C94:E94)</f>
        <v>0</v>
      </c>
      <c r="I94" s="245">
        <f>SUM(F94:H94)</f>
        <v>0</v>
      </c>
    </row>
    <row r="95" spans="1:9" ht="12.75">
      <c r="A95" s="80"/>
      <c r="B95" s="130" t="s">
        <v>262</v>
      </c>
      <c r="C95" s="129">
        <v>0</v>
      </c>
      <c r="D95" s="129">
        <v>0</v>
      </c>
      <c r="E95" s="129">
        <v>0</v>
      </c>
      <c r="F95" s="19">
        <f>SUM(C95:E95)</f>
        <v>0</v>
      </c>
      <c r="I95" s="245">
        <f>SUM(F95:H95)</f>
        <v>0</v>
      </c>
    </row>
    <row r="96" spans="1:6" ht="12.75">
      <c r="A96" s="80"/>
      <c r="B96" s="130"/>
      <c r="F96" s="19">
        <f>SUM(C96:E96)</f>
        <v>0</v>
      </c>
    </row>
    <row r="97" spans="1:9" ht="13.5" thickBot="1">
      <c r="A97" s="80"/>
      <c r="C97" s="134">
        <f>SUM(C92:C96)</f>
        <v>52523</v>
      </c>
      <c r="D97" s="134">
        <f>SUM(D92:D96)</f>
        <v>3200</v>
      </c>
      <c r="E97" s="134">
        <f>SUM(E92:E96)</f>
        <v>23659</v>
      </c>
      <c r="F97" s="134">
        <f>SUM(F92:F95)</f>
        <v>79382</v>
      </c>
      <c r="G97" s="131"/>
      <c r="H97" s="131"/>
      <c r="I97" s="265">
        <f>SUM(I92:I95)</f>
        <v>79382</v>
      </c>
    </row>
    <row r="98" spans="1:9" ht="13.5" thickTop="1">
      <c r="A98" s="80"/>
      <c r="B98" s="130" t="s">
        <v>258</v>
      </c>
      <c r="C98" s="131"/>
      <c r="D98" s="131"/>
      <c r="E98" s="131"/>
      <c r="F98" s="131"/>
      <c r="G98" s="131"/>
      <c r="H98" s="131"/>
      <c r="I98" s="259"/>
    </row>
    <row r="99" spans="1:9" ht="12.75">
      <c r="A99" s="80"/>
      <c r="B99" s="135">
        <v>-2004</v>
      </c>
      <c r="C99" s="132">
        <v>394464.16</v>
      </c>
      <c r="D99" s="132">
        <v>0</v>
      </c>
      <c r="E99" s="132">
        <v>0</v>
      </c>
      <c r="F99" s="18">
        <f>SUM(C99:E99)</f>
        <v>394464.16</v>
      </c>
      <c r="G99" s="131">
        <v>394464.16</v>
      </c>
      <c r="H99" s="131"/>
      <c r="I99" s="296">
        <f>+F99-G99+H99</f>
        <v>0</v>
      </c>
    </row>
    <row r="100" spans="1:9" ht="12.75">
      <c r="A100" s="80"/>
      <c r="B100" s="135">
        <v>-2003</v>
      </c>
      <c r="C100" s="266">
        <v>400000</v>
      </c>
      <c r="D100" s="266">
        <v>32830</v>
      </c>
      <c r="E100" s="266">
        <v>0</v>
      </c>
      <c r="F100" s="267">
        <f>SUM(C100:E100)</f>
        <v>432830</v>
      </c>
      <c r="G100" s="131"/>
      <c r="H100" s="131"/>
      <c r="I100" s="297">
        <f>SUM(I99)</f>
        <v>0</v>
      </c>
    </row>
    <row r="101" spans="1:9" ht="12.75">
      <c r="A101" s="80"/>
      <c r="B101" s="130" t="s">
        <v>359</v>
      </c>
      <c r="C101" s="131"/>
      <c r="D101" s="131"/>
      <c r="E101" s="131"/>
      <c r="F101" s="19"/>
      <c r="G101" s="131"/>
      <c r="H101" s="131"/>
      <c r="I101" s="259"/>
    </row>
    <row r="102" spans="1:9" ht="12.75">
      <c r="A102" s="80"/>
      <c r="B102" s="135">
        <v>-2004</v>
      </c>
      <c r="C102" s="132">
        <v>0</v>
      </c>
      <c r="D102" s="132">
        <v>0</v>
      </c>
      <c r="E102" s="132"/>
      <c r="F102" s="18">
        <f>SUM(C102:E102)</f>
        <v>0</v>
      </c>
      <c r="G102" s="131"/>
      <c r="H102" s="131"/>
      <c r="I102" s="264">
        <f>SUM(F102:H102)</f>
        <v>0</v>
      </c>
    </row>
    <row r="103" spans="1:9" ht="12.75">
      <c r="A103" s="80"/>
      <c r="B103" s="135">
        <v>-2003</v>
      </c>
      <c r="C103" s="266">
        <v>0</v>
      </c>
      <c r="D103" s="266">
        <v>0</v>
      </c>
      <c r="E103" s="266"/>
      <c r="F103" s="267">
        <f>SUM(C103:E103)</f>
        <v>0</v>
      </c>
      <c r="G103" s="131"/>
      <c r="H103" s="131"/>
      <c r="I103" s="268">
        <f>SUM(F103:H103)</f>
        <v>0</v>
      </c>
    </row>
    <row r="104" spans="1:9" ht="12.75">
      <c r="A104" s="80"/>
      <c r="B104" s="135"/>
      <c r="C104" s="131"/>
      <c r="D104" s="131"/>
      <c r="E104" s="131"/>
      <c r="F104" s="26"/>
      <c r="G104" s="131"/>
      <c r="H104" s="131"/>
      <c r="I104" s="259"/>
    </row>
    <row r="105" spans="1:9" ht="12.75">
      <c r="A105" s="80"/>
      <c r="B105" s="130" t="s">
        <v>437</v>
      </c>
      <c r="C105" s="132">
        <v>0</v>
      </c>
      <c r="D105" s="132">
        <v>0</v>
      </c>
      <c r="E105" s="132">
        <v>2451000</v>
      </c>
      <c r="F105" s="18">
        <f>SUM(C105:E105)</f>
        <v>2451000</v>
      </c>
      <c r="G105" s="131">
        <v>2451000</v>
      </c>
      <c r="H105" s="131"/>
      <c r="I105" s="264">
        <f>+F105-G105+H105</f>
        <v>0</v>
      </c>
    </row>
    <row r="106" spans="1:9" ht="12.75">
      <c r="A106" s="80"/>
      <c r="B106" s="136">
        <v>-2003</v>
      </c>
      <c r="C106" s="266">
        <v>0</v>
      </c>
      <c r="D106" s="266">
        <v>0</v>
      </c>
      <c r="E106" s="266">
        <v>0</v>
      </c>
      <c r="F106" s="18">
        <f>SUM(C106:E106)</f>
        <v>0</v>
      </c>
      <c r="G106" s="131"/>
      <c r="H106" s="131"/>
      <c r="I106" s="264"/>
    </row>
    <row r="107" spans="1:9" ht="12.75">
      <c r="A107" s="80"/>
      <c r="B107" s="135"/>
      <c r="C107" s="131"/>
      <c r="D107" s="131"/>
      <c r="E107" s="131"/>
      <c r="F107" s="26"/>
      <c r="G107" s="131"/>
      <c r="H107" s="131"/>
      <c r="I107" s="259"/>
    </row>
    <row r="108" ht="12.75">
      <c r="A108" s="80"/>
    </row>
    <row r="109" spans="1:2" ht="12.75">
      <c r="A109" s="39">
        <v>11</v>
      </c>
      <c r="B109" s="80" t="s">
        <v>360</v>
      </c>
    </row>
    <row r="110" spans="2:9" ht="12.75">
      <c r="B110" s="130" t="s">
        <v>325</v>
      </c>
      <c r="C110" s="129">
        <v>10000</v>
      </c>
      <c r="D110" s="129">
        <v>0</v>
      </c>
      <c r="E110" s="129">
        <v>0</v>
      </c>
      <c r="F110" s="129">
        <f>SUM(C110:E110)</f>
        <v>10000</v>
      </c>
      <c r="I110" s="245">
        <f>SUM(F110:H110)</f>
        <v>10000</v>
      </c>
    </row>
    <row r="111" spans="2:9" ht="12.75">
      <c r="B111" s="130" t="s">
        <v>361</v>
      </c>
      <c r="C111" s="129">
        <v>0</v>
      </c>
      <c r="D111" s="129">
        <v>0</v>
      </c>
      <c r="E111" s="129">
        <v>0</v>
      </c>
      <c r="F111" s="129">
        <f>SUM(C111:E111)</f>
        <v>0</v>
      </c>
      <c r="I111" s="245">
        <f>SUM(F111:H111)</f>
        <v>0</v>
      </c>
    </row>
    <row r="112" spans="2:9" ht="13.5" thickBot="1">
      <c r="B112" s="130" t="s">
        <v>329</v>
      </c>
      <c r="C112" s="134">
        <f>SUM(C110:C111)</f>
        <v>10000</v>
      </c>
      <c r="D112" s="134">
        <f>SUM(D110:D111)</f>
        <v>0</v>
      </c>
      <c r="E112" s="134">
        <f>SUM(E110:E111)</f>
        <v>0</v>
      </c>
      <c r="F112" s="134">
        <f>SUM(F110:F111)</f>
        <v>10000</v>
      </c>
      <c r="G112" s="131"/>
      <c r="H112" s="131"/>
      <c r="I112" s="265">
        <f>SUM(I110:I111)</f>
        <v>10000</v>
      </c>
    </row>
    <row r="113" ht="13.5" thickTop="1"/>
    <row r="114" ht="12.75">
      <c r="A114" s="80"/>
    </row>
    <row r="115" spans="1:2" ht="12.75">
      <c r="A115" s="39">
        <v>12</v>
      </c>
      <c r="B115" s="80" t="s">
        <v>59</v>
      </c>
    </row>
    <row r="116" spans="1:9" ht="12.75">
      <c r="A116" s="80"/>
      <c r="B116" s="129" t="s">
        <v>362</v>
      </c>
      <c r="F116" s="129">
        <f aca="true" t="shared" si="0" ref="F116:F122">SUM(C116:E116)</f>
        <v>0</v>
      </c>
      <c r="I116" s="245">
        <f aca="true" t="shared" si="1" ref="I116:I122">SUM(F116:H116)</f>
        <v>0</v>
      </c>
    </row>
    <row r="117" spans="1:45" ht="12.75">
      <c r="A117" s="80"/>
      <c r="B117" s="129" t="s">
        <v>363</v>
      </c>
      <c r="C117" s="129">
        <f>+'Balance Sheet'!C33</f>
        <v>56006.08</v>
      </c>
      <c r="D117" s="129">
        <v>0</v>
      </c>
      <c r="E117" s="129">
        <f>+'Balance Sheet'!B33</f>
        <v>10000</v>
      </c>
      <c r="F117" s="129">
        <f t="shared" si="0"/>
        <v>66006.08</v>
      </c>
      <c r="I117" s="245">
        <f t="shared" si="1"/>
        <v>66006.08</v>
      </c>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row>
    <row r="118" spans="1:45" ht="12.75">
      <c r="A118" s="80"/>
      <c r="B118" s="129" t="s">
        <v>364</v>
      </c>
      <c r="C118" s="129">
        <v>0</v>
      </c>
      <c r="D118" s="129">
        <v>0</v>
      </c>
      <c r="E118" s="129">
        <v>0</v>
      </c>
      <c r="F118" s="129">
        <f t="shared" si="0"/>
        <v>0</v>
      </c>
      <c r="I118" s="245">
        <f t="shared" si="1"/>
        <v>0</v>
      </c>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row>
    <row r="119" spans="1:45" ht="12.75">
      <c r="A119" s="80"/>
      <c r="F119" s="129">
        <f t="shared" si="0"/>
        <v>0</v>
      </c>
      <c r="I119" s="245">
        <f t="shared" si="1"/>
        <v>0</v>
      </c>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row>
    <row r="120" spans="1:45" ht="12.75">
      <c r="A120" s="80"/>
      <c r="B120" s="129" t="s">
        <v>365</v>
      </c>
      <c r="F120" s="129">
        <f t="shared" si="0"/>
        <v>0</v>
      </c>
      <c r="I120" s="245">
        <f t="shared" si="1"/>
        <v>0</v>
      </c>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row>
    <row r="121" spans="1:45" ht="12.75">
      <c r="A121" s="80"/>
      <c r="B121" s="129" t="s">
        <v>363</v>
      </c>
      <c r="C121" s="129">
        <v>0</v>
      </c>
      <c r="D121" s="129">
        <v>0</v>
      </c>
      <c r="E121" s="129">
        <v>0</v>
      </c>
      <c r="F121" s="129">
        <f t="shared" si="0"/>
        <v>0</v>
      </c>
      <c r="I121" s="245">
        <f t="shared" si="1"/>
        <v>0</v>
      </c>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row>
    <row r="122" spans="1:45" ht="12.75">
      <c r="A122" s="80"/>
      <c r="B122" s="129" t="s">
        <v>364</v>
      </c>
      <c r="C122" s="129">
        <v>0</v>
      </c>
      <c r="D122" s="129">
        <v>0</v>
      </c>
      <c r="E122" s="129">
        <v>0</v>
      </c>
      <c r="F122" s="129">
        <f t="shared" si="0"/>
        <v>0</v>
      </c>
      <c r="I122" s="245">
        <f t="shared" si="1"/>
        <v>0</v>
      </c>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row>
    <row r="123" spans="1:45" ht="13.5" thickBot="1">
      <c r="A123" s="80"/>
      <c r="C123" s="134">
        <f>SUM(C116:C122)</f>
        <v>56006.08</v>
      </c>
      <c r="D123" s="134">
        <f>SUM(D116:D122)</f>
        <v>0</v>
      </c>
      <c r="E123" s="134">
        <f>SUM(E116:E122)</f>
        <v>10000</v>
      </c>
      <c r="F123" s="134">
        <f>SUM(F116:F122)</f>
        <v>66006.08</v>
      </c>
      <c r="G123" s="131"/>
      <c r="H123" s="131"/>
      <c r="I123" s="265">
        <f>SUM(I116:I122)</f>
        <v>66006.08</v>
      </c>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row>
    <row r="124" spans="1:45" ht="13.5" thickTop="1">
      <c r="A124" s="80"/>
      <c r="C124" s="131"/>
      <c r="D124" s="131"/>
      <c r="E124" s="131"/>
      <c r="F124" s="131"/>
      <c r="G124" s="131"/>
      <c r="H124" s="131"/>
      <c r="I124" s="259"/>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row>
    <row r="125" spans="1:45" ht="12.75">
      <c r="A125" s="80"/>
      <c r="B125" s="130" t="s">
        <v>366</v>
      </c>
      <c r="C125" s="131"/>
      <c r="D125" s="131"/>
      <c r="E125" s="131"/>
      <c r="F125" s="131"/>
      <c r="G125" s="131"/>
      <c r="H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row>
    <row r="126" spans="1:45" ht="12.75">
      <c r="A126" s="80"/>
      <c r="B126" s="135">
        <v>-2004</v>
      </c>
      <c r="C126" s="131">
        <v>0</v>
      </c>
      <c r="D126" s="131">
        <v>0</v>
      </c>
      <c r="E126" s="131">
        <v>0</v>
      </c>
      <c r="F126" s="131">
        <f>SUM(C126:E126)</f>
        <v>0</v>
      </c>
      <c r="G126" s="131"/>
      <c r="H126" s="131"/>
      <c r="I126" s="245">
        <f>+F126-G126+H126</f>
        <v>0</v>
      </c>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row>
    <row r="127" spans="1:45" ht="12.75">
      <c r="A127" s="80"/>
      <c r="B127" s="135">
        <v>-2003</v>
      </c>
      <c r="C127" s="131">
        <v>0</v>
      </c>
      <c r="D127" s="131">
        <v>0</v>
      </c>
      <c r="E127" s="131">
        <v>0</v>
      </c>
      <c r="F127" s="131">
        <f>SUM(C127:E127)</f>
        <v>0</v>
      </c>
      <c r="G127" s="131"/>
      <c r="H127" s="131"/>
      <c r="I127" s="245">
        <f>+F127-G127+H127</f>
        <v>0</v>
      </c>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row>
    <row r="128" spans="1:45" ht="12.75">
      <c r="A128" s="80"/>
      <c r="B128" s="130"/>
      <c r="C128" s="131"/>
      <c r="D128" s="131"/>
      <c r="E128" s="131"/>
      <c r="F128" s="131"/>
      <c r="G128" s="131"/>
      <c r="H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row>
    <row r="129" spans="1:45" ht="12.75">
      <c r="A129" s="80"/>
      <c r="B129" s="130" t="s">
        <v>367</v>
      </c>
      <c r="C129" s="131"/>
      <c r="D129" s="131"/>
      <c r="E129" s="131"/>
      <c r="F129" s="131"/>
      <c r="G129" s="131"/>
      <c r="H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row>
    <row r="130" spans="1:45" ht="12.75">
      <c r="A130" s="80"/>
      <c r="B130" s="135">
        <v>-2004</v>
      </c>
      <c r="C130" s="131">
        <v>241157.11</v>
      </c>
      <c r="D130" s="131">
        <v>0</v>
      </c>
      <c r="E130" s="131"/>
      <c r="F130" s="131">
        <f>SUM(C130:E130)</f>
        <v>241157.11</v>
      </c>
      <c r="G130" s="131"/>
      <c r="H130" s="131"/>
      <c r="I130" s="245">
        <f>+F130-G130+H130</f>
        <v>241157.11</v>
      </c>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row>
    <row r="131" spans="1:45" ht="12.75">
      <c r="A131" s="80"/>
      <c r="B131" s="135">
        <v>-2003</v>
      </c>
      <c r="C131" s="131">
        <v>0</v>
      </c>
      <c r="D131" s="131">
        <v>0</v>
      </c>
      <c r="E131" s="131"/>
      <c r="F131" s="131">
        <f>SUM(C131:E131)</f>
        <v>0</v>
      </c>
      <c r="G131" s="131"/>
      <c r="H131" s="131"/>
      <c r="I131" s="245">
        <f>+F131-G131+H131</f>
        <v>0</v>
      </c>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row>
    <row r="132" spans="1:45" ht="12.75">
      <c r="A132" s="80"/>
      <c r="C132" s="131"/>
      <c r="D132" s="131"/>
      <c r="E132" s="131"/>
      <c r="F132" s="131"/>
      <c r="G132" s="131"/>
      <c r="H132" s="131"/>
      <c r="I132" s="259"/>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row>
    <row r="133" spans="1:45" ht="12.75">
      <c r="A133" s="80"/>
      <c r="C133" s="131"/>
      <c r="D133" s="131"/>
      <c r="E133" s="131"/>
      <c r="F133" s="131"/>
      <c r="G133" s="131"/>
      <c r="H133" s="131"/>
      <c r="I133" s="259"/>
      <c r="AD133" s="131"/>
      <c r="AE133" s="131"/>
      <c r="AF133" s="131"/>
      <c r="AG133" s="131"/>
      <c r="AH133" s="131"/>
      <c r="AI133" s="131"/>
      <c r="AJ133" s="131"/>
      <c r="AK133" s="131"/>
      <c r="AL133" s="131"/>
      <c r="AM133" s="131"/>
      <c r="AN133" s="131"/>
      <c r="AO133" s="131"/>
      <c r="AP133" s="131"/>
      <c r="AQ133" s="131"/>
      <c r="AR133" s="131"/>
      <c r="AS133" s="131"/>
    </row>
    <row r="134" spans="1:45" ht="12.75">
      <c r="A134" s="80"/>
      <c r="B134" s="130" t="s">
        <v>368</v>
      </c>
      <c r="C134" s="131"/>
      <c r="D134" s="131"/>
      <c r="E134" s="131"/>
      <c r="F134" s="131"/>
      <c r="G134" s="131"/>
      <c r="H134" s="131"/>
      <c r="I134" s="259"/>
      <c r="AD134" s="131"/>
      <c r="AE134" s="131"/>
      <c r="AF134" s="131"/>
      <c r="AG134" s="131"/>
      <c r="AH134" s="131"/>
      <c r="AI134" s="131"/>
      <c r="AJ134" s="131"/>
      <c r="AK134" s="131"/>
      <c r="AL134" s="131"/>
      <c r="AM134" s="131"/>
      <c r="AN134" s="131"/>
      <c r="AO134" s="131"/>
      <c r="AP134" s="131"/>
      <c r="AQ134" s="131"/>
      <c r="AR134" s="131"/>
      <c r="AS134" s="131"/>
    </row>
    <row r="135" spans="1:45" ht="12.75">
      <c r="A135" s="80"/>
      <c r="B135" s="135">
        <v>-2004</v>
      </c>
      <c r="C135" s="131">
        <v>0</v>
      </c>
      <c r="D135" s="131">
        <v>0</v>
      </c>
      <c r="E135" s="131">
        <v>0</v>
      </c>
      <c r="F135" s="131">
        <f>SUM(C135:E135)</f>
        <v>0</v>
      </c>
      <c r="G135" s="131"/>
      <c r="H135" s="131"/>
      <c r="I135" s="259">
        <f>SUM(F135:H135)</f>
        <v>0</v>
      </c>
      <c r="AD135" s="131"/>
      <c r="AE135" s="131"/>
      <c r="AF135" s="131"/>
      <c r="AG135" s="131"/>
      <c r="AH135" s="131"/>
      <c r="AI135" s="131"/>
      <c r="AJ135" s="131"/>
      <c r="AK135" s="131"/>
      <c r="AL135" s="131"/>
      <c r="AM135" s="131"/>
      <c r="AN135" s="131"/>
      <c r="AO135" s="131"/>
      <c r="AP135" s="131"/>
      <c r="AQ135" s="131"/>
      <c r="AR135" s="131"/>
      <c r="AS135" s="131"/>
    </row>
    <row r="136" spans="1:45" ht="12.75">
      <c r="A136" s="80"/>
      <c r="B136" s="135">
        <v>-2003</v>
      </c>
      <c r="C136" s="131">
        <v>0</v>
      </c>
      <c r="D136" s="131">
        <v>0</v>
      </c>
      <c r="E136" s="131">
        <v>0</v>
      </c>
      <c r="F136" s="131">
        <f>SUM(C136:E136)</f>
        <v>0</v>
      </c>
      <c r="G136" s="131"/>
      <c r="H136" s="131"/>
      <c r="I136" s="259">
        <f>SUM(F136:H136)</f>
        <v>0</v>
      </c>
      <c r="AD136" s="131"/>
      <c r="AE136" s="131"/>
      <c r="AF136" s="131"/>
      <c r="AG136" s="131"/>
      <c r="AH136" s="131"/>
      <c r="AI136" s="131"/>
      <c r="AJ136" s="131"/>
      <c r="AK136" s="131"/>
      <c r="AL136" s="131"/>
      <c r="AM136" s="131"/>
      <c r="AN136" s="131"/>
      <c r="AO136" s="131"/>
      <c r="AP136" s="131"/>
      <c r="AQ136" s="131"/>
      <c r="AR136" s="131"/>
      <c r="AS136" s="131"/>
    </row>
    <row r="137" spans="1:45" ht="12.75">
      <c r="A137" s="80"/>
      <c r="B137" s="136" t="s">
        <v>369</v>
      </c>
      <c r="C137" s="131"/>
      <c r="D137" s="131"/>
      <c r="E137" s="131"/>
      <c r="F137" s="131"/>
      <c r="G137" s="131"/>
      <c r="H137" s="131"/>
      <c r="I137" s="259"/>
      <c r="AD137" s="131"/>
      <c r="AE137" s="131"/>
      <c r="AF137" s="131"/>
      <c r="AG137" s="131"/>
      <c r="AH137" s="131"/>
      <c r="AI137" s="131"/>
      <c r="AJ137" s="131"/>
      <c r="AK137" s="131"/>
      <c r="AL137" s="131"/>
      <c r="AM137" s="131"/>
      <c r="AN137" s="131"/>
      <c r="AO137" s="131"/>
      <c r="AP137" s="131"/>
      <c r="AQ137" s="131"/>
      <c r="AR137" s="131"/>
      <c r="AS137" s="131"/>
    </row>
    <row r="138" spans="1:45" ht="12.75">
      <c r="A138" s="80"/>
      <c r="B138" s="135">
        <v>-2004</v>
      </c>
      <c r="C138" s="131">
        <v>0</v>
      </c>
      <c r="D138" s="131">
        <v>0</v>
      </c>
      <c r="E138" s="131">
        <v>0</v>
      </c>
      <c r="F138" s="131">
        <f>SUM(C138:E138)</f>
        <v>0</v>
      </c>
      <c r="G138" s="131"/>
      <c r="H138" s="131"/>
      <c r="I138" s="259">
        <f>SUM(F138:H138)</f>
        <v>0</v>
      </c>
      <c r="AD138" s="131"/>
      <c r="AE138" s="131"/>
      <c r="AF138" s="131"/>
      <c r="AG138" s="131"/>
      <c r="AH138" s="131"/>
      <c r="AI138" s="131"/>
      <c r="AJ138" s="131"/>
      <c r="AK138" s="131"/>
      <c r="AL138" s="131"/>
      <c r="AM138" s="131"/>
      <c r="AN138" s="131"/>
      <c r="AO138" s="131"/>
      <c r="AP138" s="131"/>
      <c r="AQ138" s="131"/>
      <c r="AR138" s="131"/>
      <c r="AS138" s="131"/>
    </row>
    <row r="139" spans="1:45" ht="12.75">
      <c r="A139" s="80"/>
      <c r="B139" s="135">
        <v>-2003</v>
      </c>
      <c r="C139" s="131">
        <v>0</v>
      </c>
      <c r="D139" s="131">
        <v>0</v>
      </c>
      <c r="E139" s="131">
        <v>0</v>
      </c>
      <c r="F139" s="131">
        <f>SUM(C139:E139)</f>
        <v>0</v>
      </c>
      <c r="G139" s="131"/>
      <c r="H139" s="131"/>
      <c r="I139" s="259">
        <f>SUM(F139:H139)</f>
        <v>0</v>
      </c>
      <c r="AD139" s="131"/>
      <c r="AE139" s="131"/>
      <c r="AF139" s="131"/>
      <c r="AG139" s="131"/>
      <c r="AH139" s="131"/>
      <c r="AI139" s="131"/>
      <c r="AJ139" s="131"/>
      <c r="AK139" s="131"/>
      <c r="AL139" s="131"/>
      <c r="AM139" s="131"/>
      <c r="AN139" s="131"/>
      <c r="AO139" s="131"/>
      <c r="AP139" s="131"/>
      <c r="AQ139" s="131"/>
      <c r="AR139" s="131"/>
      <c r="AS139" s="131"/>
    </row>
    <row r="140" spans="1:45" ht="12.75">
      <c r="A140" s="80"/>
      <c r="B140" s="136" t="s">
        <v>370</v>
      </c>
      <c r="C140" s="131"/>
      <c r="D140" s="131"/>
      <c r="E140" s="131"/>
      <c r="F140" s="131"/>
      <c r="G140" s="131"/>
      <c r="H140" s="131"/>
      <c r="I140" s="259"/>
      <c r="AD140" s="131"/>
      <c r="AE140" s="131"/>
      <c r="AF140" s="131"/>
      <c r="AG140" s="131"/>
      <c r="AH140" s="131"/>
      <c r="AI140" s="131"/>
      <c r="AJ140" s="131"/>
      <c r="AK140" s="131"/>
      <c r="AL140" s="131"/>
      <c r="AM140" s="131"/>
      <c r="AN140" s="131"/>
      <c r="AO140" s="131"/>
      <c r="AP140" s="131"/>
      <c r="AQ140" s="131"/>
      <c r="AR140" s="131"/>
      <c r="AS140" s="131"/>
    </row>
    <row r="141" spans="1:45" ht="12.75">
      <c r="A141" s="80"/>
      <c r="B141" s="136" t="s">
        <v>371</v>
      </c>
      <c r="C141" s="131"/>
      <c r="D141" s="131"/>
      <c r="E141" s="131"/>
      <c r="F141" s="131"/>
      <c r="G141" s="131"/>
      <c r="H141" s="131"/>
      <c r="I141" s="259"/>
      <c r="AD141" s="131"/>
      <c r="AE141" s="131"/>
      <c r="AF141" s="131"/>
      <c r="AG141" s="131"/>
      <c r="AH141" s="131"/>
      <c r="AI141" s="131"/>
      <c r="AJ141" s="131"/>
      <c r="AK141" s="131"/>
      <c r="AL141" s="131"/>
      <c r="AM141" s="131"/>
      <c r="AN141" s="131"/>
      <c r="AO141" s="131"/>
      <c r="AP141" s="131"/>
      <c r="AQ141" s="131"/>
      <c r="AR141" s="131"/>
      <c r="AS141" s="131"/>
    </row>
    <row r="142" spans="1:45" ht="12.75">
      <c r="A142" s="80"/>
      <c r="B142" s="135">
        <v>-2004</v>
      </c>
      <c r="C142" s="131">
        <v>0</v>
      </c>
      <c r="D142" s="131">
        <v>0</v>
      </c>
      <c r="E142" s="131">
        <v>0</v>
      </c>
      <c r="F142" s="131">
        <f>SUM(C142:E142)</f>
        <v>0</v>
      </c>
      <c r="G142" s="131"/>
      <c r="H142" s="131"/>
      <c r="I142" s="259">
        <f>SUM(F142:H142)</f>
        <v>0</v>
      </c>
      <c r="AD142" s="131"/>
      <c r="AE142" s="131"/>
      <c r="AF142" s="131"/>
      <c r="AG142" s="131"/>
      <c r="AH142" s="131"/>
      <c r="AI142" s="131"/>
      <c r="AJ142" s="131"/>
      <c r="AK142" s="131"/>
      <c r="AL142" s="131"/>
      <c r="AM142" s="131"/>
      <c r="AN142" s="131"/>
      <c r="AO142" s="131"/>
      <c r="AP142" s="131"/>
      <c r="AQ142" s="131"/>
      <c r="AR142" s="131"/>
      <c r="AS142" s="131"/>
    </row>
    <row r="143" spans="1:45" ht="12.75">
      <c r="A143" s="80"/>
      <c r="B143" s="135">
        <v>-2003</v>
      </c>
      <c r="C143" s="131">
        <v>0</v>
      </c>
      <c r="D143" s="131">
        <v>0</v>
      </c>
      <c r="E143" s="131">
        <v>0</v>
      </c>
      <c r="F143" s="131">
        <f>SUM(C143:E143)</f>
        <v>0</v>
      </c>
      <c r="G143" s="131"/>
      <c r="H143" s="131"/>
      <c r="I143" s="259">
        <f>SUM(F143:H143)</f>
        <v>0</v>
      </c>
      <c r="AD143" s="131"/>
      <c r="AE143" s="131"/>
      <c r="AF143" s="131"/>
      <c r="AG143" s="131"/>
      <c r="AH143" s="131"/>
      <c r="AI143" s="131"/>
      <c r="AJ143" s="131"/>
      <c r="AK143" s="131"/>
      <c r="AL143" s="131"/>
      <c r="AM143" s="131"/>
      <c r="AN143" s="131"/>
      <c r="AO143" s="131"/>
      <c r="AP143" s="131"/>
      <c r="AQ143" s="131"/>
      <c r="AR143" s="131"/>
      <c r="AS143" s="131"/>
    </row>
    <row r="144" spans="1:45" ht="12.75">
      <c r="A144" s="80"/>
      <c r="B144" s="135"/>
      <c r="C144" s="131"/>
      <c r="D144" s="131"/>
      <c r="E144" s="131"/>
      <c r="F144" s="131"/>
      <c r="G144" s="131"/>
      <c r="H144" s="131"/>
      <c r="I144" s="259"/>
      <c r="AD144" s="131"/>
      <c r="AE144" s="131"/>
      <c r="AF144" s="131"/>
      <c r="AG144" s="131"/>
      <c r="AH144" s="131"/>
      <c r="AI144" s="131"/>
      <c r="AJ144" s="131"/>
      <c r="AK144" s="131"/>
      <c r="AL144" s="131"/>
      <c r="AM144" s="131"/>
      <c r="AN144" s="131"/>
      <c r="AO144" s="131"/>
      <c r="AP144" s="131"/>
      <c r="AQ144" s="131"/>
      <c r="AR144" s="131"/>
      <c r="AS144" s="131"/>
    </row>
    <row r="145" spans="1:45" ht="12.75">
      <c r="A145" s="80"/>
      <c r="B145" s="136" t="s">
        <v>372</v>
      </c>
      <c r="C145" s="131"/>
      <c r="D145" s="131"/>
      <c r="E145" s="131"/>
      <c r="F145" s="131"/>
      <c r="G145" s="131"/>
      <c r="H145" s="131"/>
      <c r="I145" s="259"/>
      <c r="AD145" s="131"/>
      <c r="AE145" s="131"/>
      <c r="AF145" s="131"/>
      <c r="AG145" s="131"/>
      <c r="AH145" s="131"/>
      <c r="AI145" s="131"/>
      <c r="AJ145" s="131"/>
      <c r="AK145" s="131"/>
      <c r="AL145" s="131"/>
      <c r="AM145" s="131"/>
      <c r="AN145" s="131"/>
      <c r="AO145" s="131"/>
      <c r="AP145" s="131"/>
      <c r="AQ145" s="131"/>
      <c r="AR145" s="131"/>
      <c r="AS145" s="131"/>
    </row>
    <row r="146" spans="1:45" ht="12.75">
      <c r="A146" s="80"/>
      <c r="B146" s="136" t="s">
        <v>373</v>
      </c>
      <c r="C146" s="131"/>
      <c r="D146" s="131"/>
      <c r="E146" s="131"/>
      <c r="F146" s="131"/>
      <c r="G146" s="131"/>
      <c r="H146" s="131"/>
      <c r="I146" s="259"/>
      <c r="AD146" s="131"/>
      <c r="AE146" s="131"/>
      <c r="AF146" s="131"/>
      <c r="AG146" s="131"/>
      <c r="AH146" s="131"/>
      <c r="AI146" s="131"/>
      <c r="AJ146" s="131"/>
      <c r="AK146" s="131"/>
      <c r="AL146" s="131"/>
      <c r="AM146" s="131"/>
      <c r="AN146" s="131"/>
      <c r="AO146" s="131"/>
      <c r="AP146" s="131"/>
      <c r="AQ146" s="131"/>
      <c r="AR146" s="131"/>
      <c r="AS146" s="131"/>
    </row>
    <row r="147" spans="1:45" ht="12.75">
      <c r="A147" s="80"/>
      <c r="B147" s="135">
        <v>-2004</v>
      </c>
      <c r="C147" s="131">
        <v>0</v>
      </c>
      <c r="D147" s="131">
        <v>0</v>
      </c>
      <c r="E147" s="131">
        <v>0</v>
      </c>
      <c r="F147" s="131">
        <f>SUM(C147:E147)</f>
        <v>0</v>
      </c>
      <c r="G147" s="131"/>
      <c r="H147" s="131"/>
      <c r="I147" s="259">
        <f>SUM(F147:H147)</f>
        <v>0</v>
      </c>
      <c r="AD147" s="131"/>
      <c r="AE147" s="131"/>
      <c r="AF147" s="131"/>
      <c r="AG147" s="131"/>
      <c r="AH147" s="131"/>
      <c r="AI147" s="131"/>
      <c r="AJ147" s="131"/>
      <c r="AK147" s="131"/>
      <c r="AL147" s="131"/>
      <c r="AM147" s="131"/>
      <c r="AN147" s="131"/>
      <c r="AO147" s="131"/>
      <c r="AP147" s="131"/>
      <c r="AQ147" s="131"/>
      <c r="AR147" s="131"/>
      <c r="AS147" s="131"/>
    </row>
    <row r="148" spans="1:45" ht="12.75">
      <c r="A148" s="80"/>
      <c r="B148" s="135">
        <v>-2003</v>
      </c>
      <c r="C148" s="131">
        <v>0</v>
      </c>
      <c r="D148" s="131">
        <v>0</v>
      </c>
      <c r="E148" s="131">
        <v>0</v>
      </c>
      <c r="F148" s="131">
        <f>SUM(C148:E148)</f>
        <v>0</v>
      </c>
      <c r="G148" s="131"/>
      <c r="H148" s="131"/>
      <c r="I148" s="259">
        <f>SUM(F148:H148)</f>
        <v>0</v>
      </c>
      <c r="AD148" s="131"/>
      <c r="AE148" s="131"/>
      <c r="AF148" s="131"/>
      <c r="AG148" s="131"/>
      <c r="AH148" s="131"/>
      <c r="AI148" s="131"/>
      <c r="AJ148" s="131"/>
      <c r="AK148" s="131"/>
      <c r="AL148" s="131"/>
      <c r="AM148" s="131"/>
      <c r="AN148" s="131"/>
      <c r="AO148" s="131"/>
      <c r="AP148" s="131"/>
      <c r="AQ148" s="131"/>
      <c r="AR148" s="131"/>
      <c r="AS148" s="131"/>
    </row>
    <row r="149" spans="1:45" ht="12.75">
      <c r="A149" s="80"/>
      <c r="B149" s="135"/>
      <c r="C149" s="131"/>
      <c r="D149" s="131"/>
      <c r="E149" s="131"/>
      <c r="F149" s="131"/>
      <c r="G149" s="131"/>
      <c r="H149" s="131"/>
      <c r="I149" s="259"/>
      <c r="AD149" s="131"/>
      <c r="AE149" s="131"/>
      <c r="AF149" s="131"/>
      <c r="AG149" s="131"/>
      <c r="AH149" s="131"/>
      <c r="AI149" s="131"/>
      <c r="AJ149" s="131"/>
      <c r="AK149" s="131"/>
      <c r="AL149" s="131"/>
      <c r="AM149" s="131"/>
      <c r="AN149" s="131"/>
      <c r="AO149" s="131"/>
      <c r="AP149" s="131"/>
      <c r="AQ149" s="131"/>
      <c r="AR149" s="131"/>
      <c r="AS149" s="131"/>
    </row>
    <row r="150" spans="1:45" ht="12.75">
      <c r="A150" s="80"/>
      <c r="B150" s="135"/>
      <c r="C150" s="131"/>
      <c r="D150" s="131"/>
      <c r="E150" s="131"/>
      <c r="F150" s="131"/>
      <c r="G150" s="131"/>
      <c r="H150" s="131"/>
      <c r="I150" s="259"/>
      <c r="AD150" s="131"/>
      <c r="AE150" s="131"/>
      <c r="AF150" s="131"/>
      <c r="AG150" s="131"/>
      <c r="AH150" s="131"/>
      <c r="AI150" s="131"/>
      <c r="AJ150" s="131"/>
      <c r="AK150" s="131"/>
      <c r="AL150" s="131"/>
      <c r="AM150" s="131"/>
      <c r="AN150" s="131"/>
      <c r="AO150" s="131"/>
      <c r="AP150" s="131"/>
      <c r="AQ150" s="131"/>
      <c r="AR150" s="131"/>
      <c r="AS150" s="131"/>
    </row>
    <row r="151" spans="1:2" ht="12.75">
      <c r="A151" s="39">
        <v>13</v>
      </c>
      <c r="B151" s="80" t="s">
        <v>374</v>
      </c>
    </row>
    <row r="152" ht="12.75">
      <c r="B152" s="269" t="s">
        <v>375</v>
      </c>
    </row>
    <row r="153" spans="2:9" ht="12.75">
      <c r="B153" s="130" t="s">
        <v>459</v>
      </c>
      <c r="C153" s="129">
        <v>0</v>
      </c>
      <c r="D153" s="129">
        <v>-575</v>
      </c>
      <c r="E153" s="129">
        <v>-525</v>
      </c>
      <c r="F153" s="129">
        <f aca="true" t="shared" si="2" ref="F153:F158">SUM(C153:E153)</f>
        <v>-1100</v>
      </c>
      <c r="I153" s="245">
        <f>+F153+G153+H153</f>
        <v>-1100</v>
      </c>
    </row>
    <row r="154" spans="2:9" ht="12.75">
      <c r="B154" s="270" t="s">
        <v>376</v>
      </c>
      <c r="C154" s="129">
        <v>11550</v>
      </c>
      <c r="D154" s="129">
        <v>3500</v>
      </c>
      <c r="E154" s="129">
        <v>3500</v>
      </c>
      <c r="F154" s="129">
        <f t="shared" si="2"/>
        <v>18550</v>
      </c>
      <c r="I154" s="245">
        <f>+F154+G154+H154</f>
        <v>18550</v>
      </c>
    </row>
    <row r="155" spans="2:9" ht="12.75" hidden="1">
      <c r="B155" s="130" t="s">
        <v>290</v>
      </c>
      <c r="C155" s="129">
        <v>0</v>
      </c>
      <c r="D155" s="129">
        <v>0</v>
      </c>
      <c r="E155" s="129">
        <v>0</v>
      </c>
      <c r="F155" s="129">
        <f t="shared" si="2"/>
        <v>0</v>
      </c>
      <c r="I155" s="245">
        <f>+F155+G155+H155</f>
        <v>0</v>
      </c>
    </row>
    <row r="156" spans="2:9" ht="12.75">
      <c r="B156" s="130" t="s">
        <v>377</v>
      </c>
      <c r="C156" s="129">
        <v>71695.2</v>
      </c>
      <c r="D156" s="129">
        <v>2450.14</v>
      </c>
      <c r="E156" s="129">
        <v>0</v>
      </c>
      <c r="F156" s="129">
        <f t="shared" si="2"/>
        <v>74145.34</v>
      </c>
      <c r="I156" s="245">
        <f>+F156+G156+H156</f>
        <v>74145.34</v>
      </c>
    </row>
    <row r="157" spans="2:9" ht="12.75">
      <c r="B157" s="130" t="s">
        <v>438</v>
      </c>
      <c r="C157" s="129">
        <v>12750</v>
      </c>
      <c r="D157" s="129">
        <v>0</v>
      </c>
      <c r="E157" s="129">
        <v>0</v>
      </c>
      <c r="F157" s="129">
        <f t="shared" si="2"/>
        <v>12750</v>
      </c>
      <c r="I157" s="245">
        <f>+F157+G157+H157</f>
        <v>12750</v>
      </c>
    </row>
    <row r="158" spans="2:9" ht="12.75">
      <c r="B158" s="130" t="s">
        <v>158</v>
      </c>
      <c r="C158" s="129">
        <v>0</v>
      </c>
      <c r="D158" s="129">
        <v>0</v>
      </c>
      <c r="E158" s="129">
        <v>0</v>
      </c>
      <c r="F158" s="129">
        <f t="shared" si="2"/>
        <v>0</v>
      </c>
      <c r="G158" s="129">
        <v>116493</v>
      </c>
      <c r="I158" s="245">
        <f>+F158+G158-H158</f>
        <v>116493</v>
      </c>
    </row>
    <row r="159" ht="12.75">
      <c r="B159" s="130" t="s">
        <v>378</v>
      </c>
    </row>
    <row r="160" spans="2:9" ht="12.75">
      <c r="B160" s="270" t="s">
        <v>379</v>
      </c>
      <c r="C160" s="129">
        <v>0</v>
      </c>
      <c r="D160" s="129">
        <v>0</v>
      </c>
      <c r="E160" s="129">
        <v>26400</v>
      </c>
      <c r="F160" s="129">
        <f aca="true" t="shared" si="3" ref="F160:F176">SUM(C160:E160)</f>
        <v>26400</v>
      </c>
      <c r="I160" s="245">
        <f aca="true" t="shared" si="4" ref="I160:I176">+F160+G160+H160</f>
        <v>26400</v>
      </c>
    </row>
    <row r="161" spans="2:9" ht="12.75">
      <c r="B161" s="270" t="s">
        <v>380</v>
      </c>
      <c r="C161" s="129">
        <f>20400+16080+154000</f>
        <v>190480</v>
      </c>
      <c r="D161" s="129">
        <v>165440</v>
      </c>
      <c r="E161" s="129">
        <v>0</v>
      </c>
      <c r="F161" s="129">
        <f t="shared" si="3"/>
        <v>355920</v>
      </c>
      <c r="I161" s="245">
        <f t="shared" si="4"/>
        <v>355920</v>
      </c>
    </row>
    <row r="162" spans="2:9" ht="12.75" hidden="1">
      <c r="B162" s="130" t="s">
        <v>381</v>
      </c>
      <c r="C162" s="129">
        <v>0</v>
      </c>
      <c r="D162" s="129">
        <v>0</v>
      </c>
      <c r="E162" s="129">
        <v>0</v>
      </c>
      <c r="F162" s="129">
        <f t="shared" si="3"/>
        <v>0</v>
      </c>
      <c r="I162" s="245">
        <f t="shared" si="4"/>
        <v>0</v>
      </c>
    </row>
    <row r="163" spans="2:9" ht="12.75" hidden="1">
      <c r="B163" s="130" t="s">
        <v>382</v>
      </c>
      <c r="F163" s="129">
        <f t="shared" si="3"/>
        <v>0</v>
      </c>
      <c r="I163" s="245">
        <f t="shared" si="4"/>
        <v>0</v>
      </c>
    </row>
    <row r="164" spans="2:9" ht="12.75" hidden="1">
      <c r="B164" s="270" t="s">
        <v>383</v>
      </c>
      <c r="C164" s="129">
        <v>0</v>
      </c>
      <c r="D164" s="129">
        <v>0</v>
      </c>
      <c r="E164" s="129">
        <v>0</v>
      </c>
      <c r="F164" s="129">
        <f t="shared" si="3"/>
        <v>0</v>
      </c>
      <c r="I164" s="245">
        <f t="shared" si="4"/>
        <v>0</v>
      </c>
    </row>
    <row r="165" spans="2:9" ht="12.75" hidden="1">
      <c r="B165" s="270" t="s">
        <v>384</v>
      </c>
      <c r="C165" s="129">
        <v>0</v>
      </c>
      <c r="D165" s="129">
        <v>0</v>
      </c>
      <c r="E165" s="129">
        <v>0</v>
      </c>
      <c r="F165" s="129">
        <f t="shared" si="3"/>
        <v>0</v>
      </c>
      <c r="I165" s="245">
        <f t="shared" si="4"/>
        <v>0</v>
      </c>
    </row>
    <row r="166" spans="2:9" ht="12.75" hidden="1">
      <c r="B166" s="270" t="s">
        <v>385</v>
      </c>
      <c r="C166" s="129">
        <v>0</v>
      </c>
      <c r="D166" s="129">
        <v>0</v>
      </c>
      <c r="E166" s="129">
        <v>0</v>
      </c>
      <c r="F166" s="129">
        <f t="shared" si="3"/>
        <v>0</v>
      </c>
      <c r="I166" s="245">
        <f t="shared" si="4"/>
        <v>0</v>
      </c>
    </row>
    <row r="167" spans="2:9" ht="12.75" hidden="1">
      <c r="B167" s="270" t="s">
        <v>386</v>
      </c>
      <c r="C167" s="129">
        <v>0</v>
      </c>
      <c r="D167" s="129">
        <v>0</v>
      </c>
      <c r="E167" s="129">
        <v>0</v>
      </c>
      <c r="F167" s="129">
        <f t="shared" si="3"/>
        <v>0</v>
      </c>
      <c r="I167" s="245">
        <f t="shared" si="4"/>
        <v>0</v>
      </c>
    </row>
    <row r="168" spans="2:9" ht="12.75" hidden="1">
      <c r="B168" s="270" t="s">
        <v>387</v>
      </c>
      <c r="C168" s="129">
        <v>0</v>
      </c>
      <c r="D168" s="129">
        <v>0</v>
      </c>
      <c r="E168" s="129">
        <v>0</v>
      </c>
      <c r="F168" s="129">
        <f t="shared" si="3"/>
        <v>0</v>
      </c>
      <c r="I168" s="245">
        <f t="shared" si="4"/>
        <v>0</v>
      </c>
    </row>
    <row r="169" spans="2:9" ht="12.75" hidden="1">
      <c r="B169" s="270" t="s">
        <v>388</v>
      </c>
      <c r="C169" s="129">
        <v>0</v>
      </c>
      <c r="D169" s="129">
        <v>0</v>
      </c>
      <c r="E169" s="129">
        <v>0</v>
      </c>
      <c r="F169" s="129">
        <f t="shared" si="3"/>
        <v>0</v>
      </c>
      <c r="I169" s="245">
        <f t="shared" si="4"/>
        <v>0</v>
      </c>
    </row>
    <row r="170" spans="2:9" ht="12.75" hidden="1">
      <c r="B170" s="270" t="s">
        <v>389</v>
      </c>
      <c r="C170" s="129">
        <v>0</v>
      </c>
      <c r="D170" s="129">
        <v>0</v>
      </c>
      <c r="E170" s="129">
        <v>0</v>
      </c>
      <c r="F170" s="129">
        <f t="shared" si="3"/>
        <v>0</v>
      </c>
      <c r="I170" s="245">
        <f t="shared" si="4"/>
        <v>0</v>
      </c>
    </row>
    <row r="171" spans="2:9" ht="12.75" hidden="1">
      <c r="B171" s="270" t="s">
        <v>390</v>
      </c>
      <c r="C171" s="129">
        <v>0</v>
      </c>
      <c r="D171" s="129">
        <v>0</v>
      </c>
      <c r="E171" s="129">
        <v>0</v>
      </c>
      <c r="F171" s="129">
        <f t="shared" si="3"/>
        <v>0</v>
      </c>
      <c r="I171" s="245">
        <f t="shared" si="4"/>
        <v>0</v>
      </c>
    </row>
    <row r="172" spans="2:9" ht="12.75" hidden="1">
      <c r="B172" s="130" t="s">
        <v>391</v>
      </c>
      <c r="C172" s="129">
        <v>0</v>
      </c>
      <c r="D172" s="129">
        <v>0</v>
      </c>
      <c r="E172" s="129">
        <v>0</v>
      </c>
      <c r="F172" s="129">
        <f t="shared" si="3"/>
        <v>0</v>
      </c>
      <c r="I172" s="245">
        <f t="shared" si="4"/>
        <v>0</v>
      </c>
    </row>
    <row r="173" spans="2:9" ht="12.75" hidden="1">
      <c r="B173" s="130" t="s">
        <v>392</v>
      </c>
      <c r="C173" s="129">
        <v>0</v>
      </c>
      <c r="D173" s="129">
        <v>0</v>
      </c>
      <c r="E173" s="129">
        <v>0</v>
      </c>
      <c r="F173" s="129">
        <f t="shared" si="3"/>
        <v>0</v>
      </c>
      <c r="I173" s="245">
        <f t="shared" si="4"/>
        <v>0</v>
      </c>
    </row>
    <row r="174" spans="2:9" ht="12.75">
      <c r="B174" s="130" t="s">
        <v>393</v>
      </c>
      <c r="C174" s="129">
        <v>0</v>
      </c>
      <c r="D174" s="129">
        <v>22500</v>
      </c>
      <c r="E174" s="129">
        <v>0</v>
      </c>
      <c r="F174" s="129">
        <f t="shared" si="3"/>
        <v>22500</v>
      </c>
      <c r="I174" s="245">
        <f t="shared" si="4"/>
        <v>22500</v>
      </c>
    </row>
    <row r="175" spans="2:9" ht="12.75" hidden="1">
      <c r="B175" s="130" t="s">
        <v>394</v>
      </c>
      <c r="C175" s="129">
        <v>0</v>
      </c>
      <c r="D175" s="129">
        <v>0</v>
      </c>
      <c r="E175" s="129">
        <v>0</v>
      </c>
      <c r="F175" s="129">
        <f t="shared" si="3"/>
        <v>0</v>
      </c>
      <c r="I175" s="245">
        <f t="shared" si="4"/>
        <v>0</v>
      </c>
    </row>
    <row r="176" spans="2:9" ht="12.75" hidden="1">
      <c r="B176" s="130" t="s">
        <v>395</v>
      </c>
      <c r="C176" s="129">
        <v>0</v>
      </c>
      <c r="D176" s="129">
        <v>0</v>
      </c>
      <c r="E176" s="129">
        <v>0</v>
      </c>
      <c r="F176" s="129">
        <f t="shared" si="3"/>
        <v>0</v>
      </c>
      <c r="I176" s="245">
        <f t="shared" si="4"/>
        <v>0</v>
      </c>
    </row>
    <row r="177" ht="12.75">
      <c r="B177" s="269" t="s">
        <v>396</v>
      </c>
    </row>
    <row r="178" spans="2:9" ht="12.75" hidden="1">
      <c r="B178" s="130" t="s">
        <v>292</v>
      </c>
      <c r="C178" s="54">
        <v>0</v>
      </c>
      <c r="D178" s="54">
        <v>0</v>
      </c>
      <c r="E178" s="54">
        <v>0</v>
      </c>
      <c r="F178" s="54">
        <f aca="true" t="shared" si="5" ref="F178:F189">SUM(C178:E178)</f>
        <v>0</v>
      </c>
      <c r="G178" s="54"/>
      <c r="H178" s="54"/>
      <c r="I178" s="102">
        <f aca="true" t="shared" si="6" ref="I178:I189">+F178+G178+H178</f>
        <v>0</v>
      </c>
    </row>
    <row r="179" spans="2:9" ht="12.75">
      <c r="B179" s="130" t="s">
        <v>297</v>
      </c>
      <c r="C179" s="54">
        <v>-126126.51</v>
      </c>
      <c r="D179" s="54">
        <v>0</v>
      </c>
      <c r="E179" s="54">
        <v>-182427.58</v>
      </c>
      <c r="F179" s="277">
        <f t="shared" si="5"/>
        <v>-308554.08999999997</v>
      </c>
      <c r="G179" s="54"/>
      <c r="H179" s="54"/>
      <c r="I179" s="102">
        <f t="shared" si="6"/>
        <v>-308554.08999999997</v>
      </c>
    </row>
    <row r="180" spans="2:9" ht="12.75" hidden="1">
      <c r="B180" s="130" t="s">
        <v>296</v>
      </c>
      <c r="C180" s="54">
        <v>0</v>
      </c>
      <c r="D180" s="54">
        <v>0</v>
      </c>
      <c r="E180" s="54">
        <v>0</v>
      </c>
      <c r="F180" s="54">
        <f t="shared" si="5"/>
        <v>0</v>
      </c>
      <c r="G180" s="54"/>
      <c r="H180" s="54">
        <v>0</v>
      </c>
      <c r="I180" s="102">
        <f t="shared" si="6"/>
        <v>0</v>
      </c>
    </row>
    <row r="181" spans="2:9" ht="12.75" hidden="1">
      <c r="B181" s="130" t="s">
        <v>397</v>
      </c>
      <c r="C181" s="54">
        <v>0</v>
      </c>
      <c r="D181" s="54">
        <v>0</v>
      </c>
      <c r="E181" s="54">
        <v>0</v>
      </c>
      <c r="F181" s="54">
        <f t="shared" si="5"/>
        <v>0</v>
      </c>
      <c r="G181" s="54"/>
      <c r="H181" s="54"/>
      <c r="I181" s="102">
        <f t="shared" si="6"/>
        <v>0</v>
      </c>
    </row>
    <row r="182" spans="2:9" ht="12.75" hidden="1">
      <c r="B182" s="130" t="s">
        <v>398</v>
      </c>
      <c r="C182" s="54">
        <v>0</v>
      </c>
      <c r="D182" s="54">
        <v>0</v>
      </c>
      <c r="E182" s="54">
        <v>0</v>
      </c>
      <c r="F182" s="54">
        <f t="shared" si="5"/>
        <v>0</v>
      </c>
      <c r="G182" s="54"/>
      <c r="H182" s="54"/>
      <c r="I182" s="102">
        <f t="shared" si="6"/>
        <v>0</v>
      </c>
    </row>
    <row r="183" spans="2:9" ht="12.75" hidden="1">
      <c r="B183" s="130" t="s">
        <v>399</v>
      </c>
      <c r="C183" s="54">
        <v>0</v>
      </c>
      <c r="D183" s="54">
        <v>0</v>
      </c>
      <c r="E183" s="54">
        <v>0</v>
      </c>
      <c r="F183" s="54">
        <f t="shared" si="5"/>
        <v>0</v>
      </c>
      <c r="G183" s="54"/>
      <c r="H183" s="54"/>
      <c r="I183" s="102">
        <f t="shared" si="6"/>
        <v>0</v>
      </c>
    </row>
    <row r="184" spans="2:9" ht="12.75" hidden="1">
      <c r="B184" s="130" t="s">
        <v>400</v>
      </c>
      <c r="C184" s="54">
        <v>0</v>
      </c>
      <c r="D184" s="54">
        <v>0</v>
      </c>
      <c r="E184" s="54">
        <v>0</v>
      </c>
      <c r="F184" s="54">
        <f t="shared" si="5"/>
        <v>0</v>
      </c>
      <c r="G184" s="54"/>
      <c r="H184" s="54"/>
      <c r="I184" s="102">
        <f t="shared" si="6"/>
        <v>0</v>
      </c>
    </row>
    <row r="185" spans="2:9" ht="12.75">
      <c r="B185" s="130" t="s">
        <v>401</v>
      </c>
      <c r="C185" s="54">
        <v>-697.13</v>
      </c>
      <c r="D185" s="54">
        <v>0</v>
      </c>
      <c r="E185" s="54">
        <v>0</v>
      </c>
      <c r="F185" s="54">
        <f t="shared" si="5"/>
        <v>-697.13</v>
      </c>
      <c r="G185" s="54"/>
      <c r="H185" s="54"/>
      <c r="I185" s="102">
        <f t="shared" si="6"/>
        <v>-697.13</v>
      </c>
    </row>
    <row r="186" spans="2:9" ht="12.75">
      <c r="B186" s="270" t="s">
        <v>402</v>
      </c>
      <c r="C186" s="54">
        <v>0</v>
      </c>
      <c r="D186" s="54">
        <v>0</v>
      </c>
      <c r="E186" s="54">
        <v>0</v>
      </c>
      <c r="F186" s="54">
        <f t="shared" si="5"/>
        <v>0</v>
      </c>
      <c r="G186" s="54"/>
      <c r="H186" s="54"/>
      <c r="I186" s="102">
        <f t="shared" si="6"/>
        <v>0</v>
      </c>
    </row>
    <row r="187" spans="2:9" ht="12.75" hidden="1">
      <c r="B187" s="130" t="s">
        <v>403</v>
      </c>
      <c r="C187" s="54">
        <v>0</v>
      </c>
      <c r="D187" s="54">
        <v>0</v>
      </c>
      <c r="E187" s="54">
        <v>0</v>
      </c>
      <c r="F187" s="54">
        <f t="shared" si="5"/>
        <v>0</v>
      </c>
      <c r="G187" s="54"/>
      <c r="H187" s="54"/>
      <c r="I187" s="102">
        <f t="shared" si="6"/>
        <v>0</v>
      </c>
    </row>
    <row r="188" spans="2:9" ht="12.75">
      <c r="B188" s="130" t="s">
        <v>404</v>
      </c>
      <c r="C188" s="54">
        <v>-7200</v>
      </c>
      <c r="D188" s="54">
        <v>0</v>
      </c>
      <c r="E188" s="54">
        <v>0</v>
      </c>
      <c r="F188" s="54">
        <f t="shared" si="5"/>
        <v>-7200</v>
      </c>
      <c r="G188" s="54"/>
      <c r="H188" s="54"/>
      <c r="I188" s="102">
        <f t="shared" si="6"/>
        <v>-7200</v>
      </c>
    </row>
    <row r="189" spans="2:9" ht="12.75" hidden="1">
      <c r="B189" s="130" t="s">
        <v>405</v>
      </c>
      <c r="C189" s="54">
        <v>0</v>
      </c>
      <c r="D189" s="54">
        <v>0</v>
      </c>
      <c r="E189" s="54">
        <v>0</v>
      </c>
      <c r="F189" s="54">
        <f t="shared" si="5"/>
        <v>0</v>
      </c>
      <c r="G189" s="54"/>
      <c r="H189" s="54"/>
      <c r="I189" s="102">
        <f t="shared" si="6"/>
        <v>0</v>
      </c>
    </row>
    <row r="190" spans="2:9" ht="12.75">
      <c r="B190" s="130"/>
      <c r="C190" s="54"/>
      <c r="D190" s="54"/>
      <c r="E190" s="54"/>
      <c r="F190" s="54"/>
      <c r="G190" s="54"/>
      <c r="H190" s="54"/>
      <c r="I190" s="102"/>
    </row>
    <row r="191" spans="2:9" ht="12.75">
      <c r="B191" s="130"/>
      <c r="C191" s="54"/>
      <c r="D191" s="54"/>
      <c r="E191" s="54"/>
      <c r="F191" s="54"/>
      <c r="G191" s="54"/>
      <c r="H191" s="54"/>
      <c r="I191" s="102"/>
    </row>
    <row r="192" spans="1:2" ht="12.75">
      <c r="A192" s="39">
        <v>14</v>
      </c>
      <c r="B192" s="80" t="s">
        <v>406</v>
      </c>
    </row>
    <row r="194" ht="12.75">
      <c r="B194" s="130" t="s">
        <v>455</v>
      </c>
    </row>
    <row r="195" spans="2:9" ht="12.75">
      <c r="B195" s="136" t="s">
        <v>452</v>
      </c>
      <c r="C195" s="129">
        <v>334443.94</v>
      </c>
      <c r="D195" s="129">
        <v>58566.03</v>
      </c>
      <c r="E195" s="129">
        <v>0</v>
      </c>
      <c r="F195" s="129">
        <f aca="true" t="shared" si="7" ref="F195:F213">SUM(C195:E195)</f>
        <v>393009.97</v>
      </c>
      <c r="I195" s="245">
        <f aca="true" t="shared" si="8" ref="I195:I213">SUM(F195:H195)</f>
        <v>393009.97</v>
      </c>
    </row>
    <row r="196" spans="2:9" ht="12.75">
      <c r="B196" s="136" t="s">
        <v>441</v>
      </c>
      <c r="C196" s="129">
        <v>10400</v>
      </c>
      <c r="D196" s="129">
        <v>12000</v>
      </c>
      <c r="E196" s="129">
        <v>0</v>
      </c>
      <c r="F196" s="129">
        <f t="shared" si="7"/>
        <v>22400</v>
      </c>
      <c r="I196" s="245">
        <f t="shared" si="8"/>
        <v>22400</v>
      </c>
    </row>
    <row r="197" spans="2:9" ht="12.75">
      <c r="B197" s="136" t="s">
        <v>442</v>
      </c>
      <c r="C197" s="129">
        <f>107615-62475</f>
        <v>45140</v>
      </c>
      <c r="D197" s="129">
        <v>12908.33</v>
      </c>
      <c r="E197" s="129">
        <v>0</v>
      </c>
      <c r="F197" s="129">
        <f t="shared" si="7"/>
        <v>58048.33</v>
      </c>
      <c r="I197" s="245">
        <f t="shared" si="8"/>
        <v>58048.33</v>
      </c>
    </row>
    <row r="198" spans="2:9" ht="12.75">
      <c r="B198" s="136" t="s">
        <v>443</v>
      </c>
      <c r="C198" s="129">
        <v>55225</v>
      </c>
      <c r="D198" s="129">
        <v>25022</v>
      </c>
      <c r="E198" s="129">
        <v>0</v>
      </c>
      <c r="F198" s="129">
        <f t="shared" si="7"/>
        <v>80247</v>
      </c>
      <c r="I198" s="245">
        <f t="shared" si="8"/>
        <v>80247</v>
      </c>
    </row>
    <row r="199" spans="2:9" ht="12.75">
      <c r="B199" s="136" t="s">
        <v>444</v>
      </c>
      <c r="C199" s="129">
        <v>838.05</v>
      </c>
      <c r="D199" s="129">
        <v>412.35</v>
      </c>
      <c r="E199" s="129">
        <v>0</v>
      </c>
      <c r="F199" s="129">
        <f t="shared" si="7"/>
        <v>1250.4</v>
      </c>
      <c r="I199" s="245">
        <f t="shared" si="8"/>
        <v>1250.4</v>
      </c>
    </row>
    <row r="200" spans="2:9" ht="12.75">
      <c r="B200" s="136" t="s">
        <v>453</v>
      </c>
      <c r="C200" s="129">
        <v>10179.86</v>
      </c>
      <c r="D200" s="129">
        <v>624</v>
      </c>
      <c r="E200" s="129">
        <v>0</v>
      </c>
      <c r="F200" s="129">
        <f t="shared" si="7"/>
        <v>10803.86</v>
      </c>
      <c r="I200" s="245">
        <f t="shared" si="8"/>
        <v>10803.86</v>
      </c>
    </row>
    <row r="201" spans="2:9" ht="12.75">
      <c r="B201" s="136" t="s">
        <v>445</v>
      </c>
      <c r="C201" s="129">
        <v>525</v>
      </c>
      <c r="D201" s="129">
        <v>4263</v>
      </c>
      <c r="E201" s="129">
        <v>0</v>
      </c>
      <c r="F201" s="129">
        <f t="shared" si="7"/>
        <v>4788</v>
      </c>
      <c r="I201" s="245">
        <f t="shared" si="8"/>
        <v>4788</v>
      </c>
    </row>
    <row r="202" spans="2:9" ht="12.75">
      <c r="B202" s="136" t="s">
        <v>446</v>
      </c>
      <c r="C202" s="129">
        <v>27595.05</v>
      </c>
      <c r="D202" s="129">
        <v>252.14</v>
      </c>
      <c r="E202" s="129">
        <v>0</v>
      </c>
      <c r="F202" s="129">
        <f t="shared" si="7"/>
        <v>27847.19</v>
      </c>
      <c r="I202" s="245">
        <f t="shared" si="8"/>
        <v>27847.19</v>
      </c>
    </row>
    <row r="203" spans="2:9" ht="12.75">
      <c r="B203" s="136" t="s">
        <v>447</v>
      </c>
      <c r="C203" s="129">
        <v>24325.05</v>
      </c>
      <c r="D203" s="129">
        <v>0</v>
      </c>
      <c r="E203" s="129">
        <v>0</v>
      </c>
      <c r="F203" s="129">
        <f t="shared" si="7"/>
        <v>24325.05</v>
      </c>
      <c r="I203" s="245">
        <f t="shared" si="8"/>
        <v>24325.05</v>
      </c>
    </row>
    <row r="204" spans="2:9" ht="12.75">
      <c r="B204" s="136" t="s">
        <v>460</v>
      </c>
      <c r="C204" s="129">
        <v>0</v>
      </c>
      <c r="D204" s="129">
        <v>275</v>
      </c>
      <c r="E204" s="129">
        <v>9133.3</v>
      </c>
      <c r="F204" s="129">
        <f t="shared" si="7"/>
        <v>9408.3</v>
      </c>
      <c r="I204" s="245">
        <f t="shared" si="8"/>
        <v>9408.3</v>
      </c>
    </row>
    <row r="205" spans="2:9" ht="12.75">
      <c r="B205" s="136" t="s">
        <v>448</v>
      </c>
      <c r="C205" s="129">
        <v>11155.97</v>
      </c>
      <c r="D205" s="129">
        <v>0</v>
      </c>
      <c r="E205" s="129">
        <v>0</v>
      </c>
      <c r="F205" s="129">
        <f t="shared" si="7"/>
        <v>11155.97</v>
      </c>
      <c r="I205" s="245">
        <f t="shared" si="8"/>
        <v>11155.97</v>
      </c>
    </row>
    <row r="206" spans="2:9" ht="12.75">
      <c r="B206" s="136" t="s">
        <v>449</v>
      </c>
      <c r="C206" s="129">
        <v>20403.98</v>
      </c>
      <c r="D206" s="129">
        <v>0</v>
      </c>
      <c r="E206" s="129">
        <v>0</v>
      </c>
      <c r="F206" s="129">
        <f t="shared" si="7"/>
        <v>20403.98</v>
      </c>
      <c r="I206" s="245">
        <f t="shared" si="8"/>
        <v>20403.98</v>
      </c>
    </row>
    <row r="207" spans="2:9" ht="12.75">
      <c r="B207" s="136" t="s">
        <v>462</v>
      </c>
      <c r="C207" s="129">
        <v>0</v>
      </c>
      <c r="D207" s="129">
        <v>3045</v>
      </c>
      <c r="E207" s="129">
        <v>0</v>
      </c>
      <c r="F207" s="129">
        <f t="shared" si="7"/>
        <v>3045</v>
      </c>
      <c r="I207" s="245">
        <f t="shared" si="8"/>
        <v>3045</v>
      </c>
    </row>
    <row r="208" spans="2:9" ht="12.75">
      <c r="B208" s="136" t="s">
        <v>440</v>
      </c>
      <c r="C208" s="129">
        <v>154000</v>
      </c>
      <c r="D208" s="129">
        <v>132000</v>
      </c>
      <c r="E208" s="129">
        <v>0</v>
      </c>
      <c r="F208" s="129">
        <f t="shared" si="7"/>
        <v>286000</v>
      </c>
      <c r="I208" s="245">
        <f t="shared" si="8"/>
        <v>286000</v>
      </c>
    </row>
    <row r="209" spans="2:9" ht="12.75">
      <c r="B209" s="136" t="s">
        <v>465</v>
      </c>
      <c r="C209" s="129">
        <v>0</v>
      </c>
      <c r="D209" s="129">
        <v>0</v>
      </c>
      <c r="E209" s="129">
        <v>26400</v>
      </c>
      <c r="F209" s="129">
        <f t="shared" si="7"/>
        <v>26400</v>
      </c>
      <c r="I209" s="245">
        <f t="shared" si="8"/>
        <v>26400</v>
      </c>
    </row>
    <row r="210" spans="2:9" ht="12.75">
      <c r="B210" s="136" t="s">
        <v>450</v>
      </c>
      <c r="C210" s="129">
        <v>20400</v>
      </c>
      <c r="D210" s="129">
        <v>0</v>
      </c>
      <c r="E210" s="129">
        <v>0</v>
      </c>
      <c r="F210" s="129">
        <f t="shared" si="7"/>
        <v>20400</v>
      </c>
      <c r="I210" s="245">
        <f t="shared" si="8"/>
        <v>20400</v>
      </c>
    </row>
    <row r="211" spans="2:9" ht="12.75">
      <c r="B211" s="136" t="s">
        <v>451</v>
      </c>
      <c r="C211" s="129">
        <v>16080</v>
      </c>
      <c r="D211" s="129">
        <v>0</v>
      </c>
      <c r="E211" s="129">
        <v>0</v>
      </c>
      <c r="F211" s="129">
        <f t="shared" si="7"/>
        <v>16080</v>
      </c>
      <c r="I211" s="245">
        <f t="shared" si="8"/>
        <v>16080</v>
      </c>
    </row>
    <row r="212" spans="2:9" ht="12.75">
      <c r="B212" s="136" t="s">
        <v>461</v>
      </c>
      <c r="C212" s="129">
        <v>0</v>
      </c>
      <c r="D212" s="129">
        <v>5000</v>
      </c>
      <c r="E212" s="129">
        <v>0</v>
      </c>
      <c r="F212" s="129">
        <f t="shared" si="7"/>
        <v>5000</v>
      </c>
      <c r="I212" s="245">
        <f t="shared" si="8"/>
        <v>5000</v>
      </c>
    </row>
    <row r="213" spans="2:9" ht="12.75">
      <c r="B213" s="136" t="s">
        <v>481</v>
      </c>
      <c r="C213" s="129">
        <v>4760</v>
      </c>
      <c r="D213" s="129">
        <v>0</v>
      </c>
      <c r="E213" s="129">
        <v>0</v>
      </c>
      <c r="F213" s="129">
        <f t="shared" si="7"/>
        <v>4760</v>
      </c>
      <c r="I213" s="245">
        <f t="shared" si="8"/>
        <v>4760</v>
      </c>
    </row>
    <row r="214" spans="2:9" ht="13.5" thickBot="1">
      <c r="B214" s="135"/>
      <c r="C214" s="134">
        <f>SUM(C195:C213)</f>
        <v>735471.8999999999</v>
      </c>
      <c r="D214" s="134">
        <f>SUM(D195:D213)</f>
        <v>254367.85</v>
      </c>
      <c r="E214" s="134">
        <f>SUM(E195:E213)</f>
        <v>35533.3</v>
      </c>
      <c r="F214" s="134">
        <f>SUM(F195:F213)</f>
        <v>1025373.05</v>
      </c>
      <c r="I214" s="134">
        <f>SUM(I195:I213)</f>
        <v>1025373.05</v>
      </c>
    </row>
    <row r="215" ht="13.5" thickTop="1">
      <c r="B215" s="135"/>
    </row>
    <row r="216" ht="12.75">
      <c r="B216" s="135"/>
    </row>
    <row r="217" ht="12.75">
      <c r="B217" s="130" t="s">
        <v>456</v>
      </c>
    </row>
    <row r="218" spans="2:9" ht="12.75">
      <c r="B218" s="136" t="s">
        <v>439</v>
      </c>
      <c r="C218" s="129">
        <v>0</v>
      </c>
      <c r="D218" s="129">
        <v>0</v>
      </c>
      <c r="E218" s="129">
        <v>0</v>
      </c>
      <c r="F218" s="129">
        <f aca="true" t="shared" si="9" ref="F218:F235">SUM(C218:E218)</f>
        <v>0</v>
      </c>
      <c r="I218" s="245">
        <f>SUM(F218:H218)</f>
        <v>0</v>
      </c>
    </row>
    <row r="219" spans="2:9" ht="12.75">
      <c r="B219" s="136" t="s">
        <v>452</v>
      </c>
      <c r="C219" s="129">
        <v>173181.5</v>
      </c>
      <c r="D219" s="129">
        <v>17925.16</v>
      </c>
      <c r="E219" s="129">
        <v>0</v>
      </c>
      <c r="F219" s="129">
        <f t="shared" si="9"/>
        <v>191106.66</v>
      </c>
      <c r="I219" s="245">
        <f aca="true" t="shared" si="10" ref="I219:I235">SUM(F219:H219)</f>
        <v>191106.66</v>
      </c>
    </row>
    <row r="220" spans="2:9" ht="12.75">
      <c r="B220" s="136" t="s">
        <v>441</v>
      </c>
      <c r="C220" s="129">
        <v>8400</v>
      </c>
      <c r="D220" s="129">
        <v>18000</v>
      </c>
      <c r="E220" s="129">
        <v>0</v>
      </c>
      <c r="F220" s="129">
        <f t="shared" si="9"/>
        <v>26400</v>
      </c>
      <c r="I220" s="245">
        <f t="shared" si="10"/>
        <v>26400</v>
      </c>
    </row>
    <row r="221" spans="2:9" ht="12.75">
      <c r="B221" s="136" t="s">
        <v>442</v>
      </c>
      <c r="C221" s="129">
        <v>3610</v>
      </c>
      <c r="D221" s="129">
        <v>0</v>
      </c>
      <c r="E221" s="129">
        <v>0</v>
      </c>
      <c r="F221" s="129">
        <f t="shared" si="9"/>
        <v>3610</v>
      </c>
      <c r="I221" s="245">
        <f t="shared" si="10"/>
        <v>3610</v>
      </c>
    </row>
    <row r="222" spans="2:9" ht="12.75">
      <c r="B222" s="136" t="s">
        <v>443</v>
      </c>
      <c r="C222" s="129">
        <v>21219</v>
      </c>
      <c r="D222" s="129">
        <v>11874</v>
      </c>
      <c r="E222" s="129">
        <v>0</v>
      </c>
      <c r="F222" s="129">
        <f t="shared" si="9"/>
        <v>33093</v>
      </c>
      <c r="I222" s="245">
        <f t="shared" si="10"/>
        <v>33093</v>
      </c>
    </row>
    <row r="223" spans="2:9" ht="12.75">
      <c r="B223" s="136" t="s">
        <v>444</v>
      </c>
      <c r="C223" s="129">
        <v>564.85</v>
      </c>
      <c r="D223" s="129">
        <v>0</v>
      </c>
      <c r="E223" s="129">
        <v>0</v>
      </c>
      <c r="F223" s="129">
        <f t="shared" si="9"/>
        <v>564.85</v>
      </c>
      <c r="I223" s="245">
        <f t="shared" si="10"/>
        <v>564.85</v>
      </c>
    </row>
    <row r="224" spans="2:9" ht="12.75">
      <c r="B224" s="136" t="s">
        <v>453</v>
      </c>
      <c r="C224" s="129">
        <v>3715.88</v>
      </c>
      <c r="D224" s="129">
        <v>24</v>
      </c>
      <c r="E224" s="129">
        <v>0</v>
      </c>
      <c r="F224" s="129">
        <f t="shared" si="9"/>
        <v>3739.88</v>
      </c>
      <c r="I224" s="245">
        <f t="shared" si="10"/>
        <v>3739.88</v>
      </c>
    </row>
    <row r="225" spans="2:9" ht="12.75">
      <c r="B225" s="136" t="s">
        <v>445</v>
      </c>
      <c r="C225" s="129">
        <v>0</v>
      </c>
      <c r="D225" s="129">
        <v>0</v>
      </c>
      <c r="E225" s="129">
        <v>0</v>
      </c>
      <c r="F225" s="129">
        <f t="shared" si="9"/>
        <v>0</v>
      </c>
      <c r="I225" s="245">
        <f t="shared" si="10"/>
        <v>0</v>
      </c>
    </row>
    <row r="226" spans="2:9" ht="12.75">
      <c r="B226" s="136" t="s">
        <v>446</v>
      </c>
      <c r="C226" s="129">
        <v>7662.25</v>
      </c>
      <c r="D226" s="129">
        <v>483.01</v>
      </c>
      <c r="E226" s="129">
        <v>0</v>
      </c>
      <c r="F226" s="129">
        <f t="shared" si="9"/>
        <v>8145.26</v>
      </c>
      <c r="I226" s="245">
        <f t="shared" si="10"/>
        <v>8145.26</v>
      </c>
    </row>
    <row r="227" spans="2:9" ht="12.75">
      <c r="B227" s="136" t="s">
        <v>447</v>
      </c>
      <c r="C227" s="129">
        <v>17958.29</v>
      </c>
      <c r="D227" s="129">
        <v>0</v>
      </c>
      <c r="E227" s="129">
        <v>0</v>
      </c>
      <c r="F227" s="129">
        <f t="shared" si="9"/>
        <v>17958.29</v>
      </c>
      <c r="I227" s="245">
        <f t="shared" si="10"/>
        <v>17958.29</v>
      </c>
    </row>
    <row r="228" spans="2:9" ht="12.75">
      <c r="B228" s="136" t="s">
        <v>448</v>
      </c>
      <c r="C228" s="129">
        <v>19172.13</v>
      </c>
      <c r="D228" s="129">
        <v>0</v>
      </c>
      <c r="E228" s="129">
        <v>0</v>
      </c>
      <c r="F228" s="129">
        <f t="shared" si="9"/>
        <v>19172.13</v>
      </c>
      <c r="I228" s="245">
        <f t="shared" si="10"/>
        <v>19172.13</v>
      </c>
    </row>
    <row r="229" spans="2:9" ht="12.75">
      <c r="B229" s="136" t="s">
        <v>449</v>
      </c>
      <c r="C229" s="129">
        <v>4132.5</v>
      </c>
      <c r="D229" s="129">
        <v>0</v>
      </c>
      <c r="E229" s="129">
        <v>0</v>
      </c>
      <c r="F229" s="129">
        <f t="shared" si="9"/>
        <v>4132.5</v>
      </c>
      <c r="I229" s="245">
        <f t="shared" si="10"/>
        <v>4132.5</v>
      </c>
    </row>
    <row r="230" spans="2:9" ht="12.75">
      <c r="B230" s="136" t="s">
        <v>454</v>
      </c>
      <c r="C230" s="129">
        <v>0</v>
      </c>
      <c r="D230" s="129">
        <v>0</v>
      </c>
      <c r="E230" s="129">
        <v>0</v>
      </c>
      <c r="F230" s="129">
        <f t="shared" si="9"/>
        <v>0</v>
      </c>
      <c r="I230" s="245">
        <f t="shared" si="10"/>
        <v>0</v>
      </c>
    </row>
    <row r="231" spans="2:9" ht="12.75">
      <c r="B231" s="136" t="s">
        <v>463</v>
      </c>
      <c r="C231" s="129">
        <v>0</v>
      </c>
      <c r="D231" s="129">
        <v>21300</v>
      </c>
      <c r="E231" s="129">
        <v>0</v>
      </c>
      <c r="F231" s="129">
        <f t="shared" si="9"/>
        <v>21300</v>
      </c>
      <c r="I231" s="245">
        <f t="shared" si="10"/>
        <v>21300</v>
      </c>
    </row>
    <row r="232" spans="2:9" ht="12.75">
      <c r="B232" s="136" t="s">
        <v>462</v>
      </c>
      <c r="C232" s="129">
        <v>0</v>
      </c>
      <c r="D232" s="129">
        <v>150560</v>
      </c>
      <c r="E232" s="129">
        <v>0</v>
      </c>
      <c r="F232" s="129">
        <f t="shared" si="9"/>
        <v>150560</v>
      </c>
      <c r="I232" s="245">
        <f t="shared" si="10"/>
        <v>150560</v>
      </c>
    </row>
    <row r="233" spans="2:9" ht="12.75">
      <c r="B233" s="136" t="s">
        <v>440</v>
      </c>
      <c r="C233" s="129">
        <v>121200</v>
      </c>
      <c r="D233" s="129">
        <v>99000</v>
      </c>
      <c r="E233" s="129">
        <v>0</v>
      </c>
      <c r="F233" s="129">
        <f t="shared" si="9"/>
        <v>220200</v>
      </c>
      <c r="I233" s="245">
        <f t="shared" si="10"/>
        <v>220200</v>
      </c>
    </row>
    <row r="234" spans="2:9" ht="12.75">
      <c r="B234" s="136" t="s">
        <v>450</v>
      </c>
      <c r="C234" s="129">
        <v>27840</v>
      </c>
      <c r="D234" s="129">
        <v>0</v>
      </c>
      <c r="E234" s="129">
        <v>0</v>
      </c>
      <c r="F234" s="129">
        <f t="shared" si="9"/>
        <v>27840</v>
      </c>
      <c r="I234" s="245">
        <f t="shared" si="10"/>
        <v>27840</v>
      </c>
    </row>
    <row r="235" spans="2:9" ht="12.75">
      <c r="B235" s="136" t="s">
        <v>451</v>
      </c>
      <c r="C235" s="129">
        <v>0</v>
      </c>
      <c r="D235" s="129">
        <v>0</v>
      </c>
      <c r="E235" s="129">
        <v>0</v>
      </c>
      <c r="F235" s="129">
        <f t="shared" si="9"/>
        <v>0</v>
      </c>
      <c r="I235" s="245">
        <f t="shared" si="10"/>
        <v>0</v>
      </c>
    </row>
    <row r="236" spans="2:9" ht="13.5" thickBot="1">
      <c r="B236" s="135"/>
      <c r="C236" s="134">
        <f>SUM(C218:C235)</f>
        <v>408656.4</v>
      </c>
      <c r="D236" s="134">
        <f>SUM(D218:D235)</f>
        <v>319166.17000000004</v>
      </c>
      <c r="E236" s="134">
        <f>SUM(E218:E235)</f>
        <v>0</v>
      </c>
      <c r="F236" s="134">
        <f>SUM(F218:F235)</f>
        <v>727822.5700000001</v>
      </c>
      <c r="I236" s="265">
        <f>SUM(I218:I235)</f>
        <v>727822.5700000001</v>
      </c>
    </row>
    <row r="237" ht="13.5" thickTop="1">
      <c r="B237" s="135"/>
    </row>
    <row r="238" ht="12.75">
      <c r="B238" s="135"/>
    </row>
    <row r="239" ht="12.75">
      <c r="B239" s="135"/>
    </row>
    <row r="240" ht="12.75">
      <c r="B240" s="136" t="s">
        <v>407</v>
      </c>
    </row>
    <row r="241" spans="2:9" ht="12.75">
      <c r="B241" s="135">
        <v>-2004</v>
      </c>
      <c r="C241" s="129">
        <v>13</v>
      </c>
      <c r="D241" s="129">
        <v>8</v>
      </c>
      <c r="E241" s="129">
        <v>0</v>
      </c>
      <c r="F241" s="129">
        <f>SUM(C241:E241)</f>
        <v>21</v>
      </c>
      <c r="I241" s="245">
        <f>SUM(F241:H241)</f>
        <v>21</v>
      </c>
    </row>
    <row r="242" spans="2:9" ht="12.75">
      <c r="B242" s="135">
        <v>-2003</v>
      </c>
      <c r="C242" s="129">
        <v>6</v>
      </c>
      <c r="D242" s="129">
        <v>4</v>
      </c>
      <c r="E242" s="129">
        <v>0</v>
      </c>
      <c r="F242" s="129">
        <f>SUM(C242:E242)</f>
        <v>10</v>
      </c>
      <c r="I242" s="245">
        <f>SUM(F242:H242)</f>
        <v>10</v>
      </c>
    </row>
  </sheetData>
  <sheetProtection/>
  <mergeCells count="1">
    <mergeCell ref="G3:H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pane xSplit="1" ySplit="15" topLeftCell="C38" activePane="bottomRight" state="frozen"/>
      <selection pane="topLeft" activeCell="A1" sqref="A1"/>
      <selection pane="topRight" activeCell="B1" sqref="B1"/>
      <selection pane="bottomLeft" activeCell="A16" sqref="A16"/>
      <selection pane="bottomRight" activeCell="H10" sqref="H10"/>
    </sheetView>
  </sheetViews>
  <sheetFormatPr defaultColWidth="9.140625" defaultRowHeight="12.75"/>
  <cols>
    <col min="1" max="1" width="33.7109375" style="16" customWidth="1"/>
    <col min="2" max="2" width="11.140625" style="19" customWidth="1"/>
    <col min="3" max="3" width="12.00390625" style="89" customWidth="1"/>
    <col min="4" max="4" width="10.8515625" style="89" bestFit="1" customWidth="1"/>
    <col min="5" max="5" width="12.57421875" style="89" customWidth="1"/>
    <col min="6" max="7" width="12.00390625" style="19" customWidth="1"/>
    <col min="8" max="8" width="14.421875" style="19" customWidth="1"/>
    <col min="9" max="11" width="14.421875" style="16" customWidth="1"/>
    <col min="12" max="12" width="13.7109375" style="16" hidden="1" customWidth="1"/>
    <col min="13" max="16384" width="9.140625" style="16" customWidth="1"/>
  </cols>
  <sheetData>
    <row r="1" ht="12.75">
      <c r="A1" s="9" t="s">
        <v>171</v>
      </c>
    </row>
    <row r="2" ht="12.75">
      <c r="A2" s="16" t="s">
        <v>62</v>
      </c>
    </row>
    <row r="3" ht="12.75">
      <c r="A3" s="32" t="s">
        <v>63</v>
      </c>
    </row>
    <row r="4" ht="12.75">
      <c r="A4" s="32" t="s">
        <v>484</v>
      </c>
    </row>
    <row r="5" ht="12.75">
      <c r="A5" s="33" t="s">
        <v>23</v>
      </c>
    </row>
    <row r="6" spans="3:8" ht="12.75" hidden="1">
      <c r="C6" s="96" t="s">
        <v>38</v>
      </c>
      <c r="D6" s="96" t="s">
        <v>39</v>
      </c>
      <c r="E6" s="96" t="s">
        <v>40</v>
      </c>
      <c r="F6" s="11" t="s">
        <v>47</v>
      </c>
      <c r="G6" s="11" t="s">
        <v>47</v>
      </c>
      <c r="H6" s="11" t="s">
        <v>48</v>
      </c>
    </row>
    <row r="7" spans="6:8" ht="12.75">
      <c r="F7" s="16"/>
      <c r="G7" s="16"/>
      <c r="H7" s="16"/>
    </row>
    <row r="8" spans="1:8" s="53" customFormat="1" ht="12.75" hidden="1">
      <c r="A8" s="59"/>
      <c r="B8" s="54"/>
      <c r="C8" s="98"/>
      <c r="D8" s="98"/>
      <c r="E8" s="98"/>
      <c r="F8" s="60" t="s">
        <v>2</v>
      </c>
      <c r="G8" s="60" t="s">
        <v>3</v>
      </c>
      <c r="H8" s="37"/>
    </row>
    <row r="9" spans="1:8" s="53" customFormat="1" ht="12.75">
      <c r="A9" s="31" t="s">
        <v>64</v>
      </c>
      <c r="B9" s="54"/>
      <c r="C9" s="98"/>
      <c r="D9" s="98"/>
      <c r="E9" s="98"/>
      <c r="F9" s="60"/>
      <c r="G9" s="60"/>
      <c r="H9" s="37"/>
    </row>
    <row r="10" spans="1:8" s="53" customFormat="1" ht="12.75">
      <c r="A10" s="31" t="s">
        <v>483</v>
      </c>
      <c r="B10" s="54"/>
      <c r="C10" s="98"/>
      <c r="D10" s="98"/>
      <c r="E10" s="98"/>
      <c r="F10" s="60"/>
      <c r="G10" s="60"/>
      <c r="H10" s="37"/>
    </row>
    <row r="11" spans="2:11" s="53" customFormat="1" ht="12.75">
      <c r="B11" s="54"/>
      <c r="C11" s="98"/>
      <c r="D11" s="98"/>
      <c r="E11" s="98"/>
      <c r="F11" s="60"/>
      <c r="G11" s="60"/>
      <c r="H11" s="61" t="s">
        <v>169</v>
      </c>
      <c r="I11" s="62"/>
      <c r="J11" s="61" t="s">
        <v>170</v>
      </c>
      <c r="K11" s="63"/>
    </row>
    <row r="12" spans="2:12" s="53" customFormat="1" ht="12.75">
      <c r="B12" s="54"/>
      <c r="C12" s="417" t="s">
        <v>485</v>
      </c>
      <c r="D12" s="417"/>
      <c r="E12" s="417"/>
      <c r="F12" s="60"/>
      <c r="G12" s="60"/>
      <c r="H12" s="9" t="s">
        <v>165</v>
      </c>
      <c r="I12" s="9" t="s">
        <v>165</v>
      </c>
      <c r="J12" s="9" t="s">
        <v>166</v>
      </c>
      <c r="K12" s="9" t="s">
        <v>166</v>
      </c>
      <c r="L12" s="9" t="s">
        <v>166</v>
      </c>
    </row>
    <row r="13" spans="1:12" s="53" customFormat="1" ht="12.75">
      <c r="A13" s="59"/>
      <c r="B13" s="54"/>
      <c r="C13" s="98" t="s">
        <v>38</v>
      </c>
      <c r="D13" s="98" t="s">
        <v>75</v>
      </c>
      <c r="E13" s="98" t="s">
        <v>40</v>
      </c>
      <c r="F13" s="60"/>
      <c r="G13" s="60"/>
      <c r="H13" s="67" t="s">
        <v>486</v>
      </c>
      <c r="I13" s="67" t="s">
        <v>487</v>
      </c>
      <c r="J13" s="67" t="str">
        <f>+H13</f>
        <v>31.03.2005</v>
      </c>
      <c r="K13" s="67" t="s">
        <v>487</v>
      </c>
      <c r="L13" s="67" t="s">
        <v>237</v>
      </c>
    </row>
    <row r="14" spans="1:12" ht="12.75">
      <c r="A14" s="28"/>
      <c r="C14" s="96" t="s">
        <v>4</v>
      </c>
      <c r="D14" s="96" t="s">
        <v>4</v>
      </c>
      <c r="E14" s="96" t="s">
        <v>4</v>
      </c>
      <c r="F14" s="11" t="s">
        <v>4</v>
      </c>
      <c r="G14" s="11" t="s">
        <v>4</v>
      </c>
      <c r="H14" s="11" t="s">
        <v>4</v>
      </c>
      <c r="I14" s="11" t="s">
        <v>4</v>
      </c>
      <c r="J14" s="11" t="s">
        <v>4</v>
      </c>
      <c r="K14" s="11" t="s">
        <v>4</v>
      </c>
      <c r="L14" s="11" t="s">
        <v>4</v>
      </c>
    </row>
    <row r="16" spans="1:12" ht="12.75">
      <c r="A16" s="16" t="s">
        <v>151</v>
      </c>
      <c r="C16" s="99">
        <v>0</v>
      </c>
      <c r="D16" s="89">
        <v>3063305.62</v>
      </c>
      <c r="E16" s="89">
        <f>689794.18+160000</f>
        <v>849794.18</v>
      </c>
      <c r="F16" s="19">
        <f>+'WK Consol adj'!G66</f>
        <v>678424.18</v>
      </c>
      <c r="H16" s="19">
        <f>J16-L16</f>
        <v>3234675.62</v>
      </c>
      <c r="I16" s="19">
        <v>4318057.32</v>
      </c>
      <c r="J16" s="19">
        <f>C16+D16+E16-F16+G16</f>
        <v>3234675.62</v>
      </c>
      <c r="K16" s="19">
        <v>4318057.32</v>
      </c>
      <c r="L16" s="64">
        <v>0</v>
      </c>
    </row>
    <row r="17" spans="3:12" ht="12.75">
      <c r="C17" s="99"/>
      <c r="J17" s="19"/>
      <c r="K17" s="16" t="s">
        <v>48</v>
      </c>
      <c r="L17" s="64"/>
    </row>
    <row r="18" spans="1:12" ht="12.75">
      <c r="A18" s="16" t="s">
        <v>152</v>
      </c>
      <c r="C18" s="100">
        <v>0</v>
      </c>
      <c r="D18" s="90">
        <v>-2203225.72</v>
      </c>
      <c r="E18" s="90">
        <v>-186271.88</v>
      </c>
      <c r="G18" s="19">
        <f>+'WK Consol adj'!H67</f>
        <v>678424.18</v>
      </c>
      <c r="H18" s="18">
        <f>J18-L18</f>
        <v>-1711073.42</v>
      </c>
      <c r="I18" s="18">
        <v>-2457271.71</v>
      </c>
      <c r="J18" s="18">
        <f>C18+D18+E18-F18+G18</f>
        <v>-1711073.42</v>
      </c>
      <c r="K18" s="18">
        <v>-2457271.71</v>
      </c>
      <c r="L18" s="65">
        <v>0</v>
      </c>
    </row>
    <row r="19" spans="3:12" ht="12.75">
      <c r="C19" s="101"/>
      <c r="J19" s="19"/>
      <c r="K19" s="16" t="s">
        <v>48</v>
      </c>
      <c r="L19" s="64"/>
    </row>
    <row r="20" spans="1:12" ht="12.75">
      <c r="A20" s="16" t="s">
        <v>153</v>
      </c>
      <c r="C20" s="101">
        <v>0</v>
      </c>
      <c r="D20" s="101">
        <f>SUM(D16:D18)</f>
        <v>860079.8999999999</v>
      </c>
      <c r="E20" s="101">
        <f>SUM(E16:E18)</f>
        <v>663522.3</v>
      </c>
      <c r="G20" s="109">
        <f>H20/H16</f>
        <v>0.471021635238961</v>
      </c>
      <c r="H20" s="23">
        <f>H16+H18</f>
        <v>1523602.2000000002</v>
      </c>
      <c r="I20" s="23">
        <v>1860785.61</v>
      </c>
      <c r="J20" s="23">
        <f>J16+J18</f>
        <v>1523602.2000000002</v>
      </c>
      <c r="K20" s="23">
        <v>1860785.61</v>
      </c>
      <c r="L20" s="23">
        <v>0</v>
      </c>
    </row>
    <row r="21" spans="3:12" ht="12.75">
      <c r="C21" s="101"/>
      <c r="J21" s="19"/>
      <c r="K21" s="16" t="s">
        <v>48</v>
      </c>
      <c r="L21" s="64"/>
    </row>
    <row r="22" spans="1:12" ht="12.75">
      <c r="A22" s="16" t="s">
        <v>154</v>
      </c>
      <c r="C22" s="107">
        <v>-30056.01</v>
      </c>
      <c r="D22" s="108">
        <f>-529180.55+35186.21</f>
        <v>-493994.34</v>
      </c>
      <c r="E22" s="108">
        <f>-122192.59+798.12</f>
        <v>-121394.47</v>
      </c>
      <c r="H22" s="18">
        <f>J22-L22</f>
        <v>-645444.8200000001</v>
      </c>
      <c r="I22" s="18">
        <v>-219125.01</v>
      </c>
      <c r="J22" s="18">
        <f>C22+D22+E22-F22+G22</f>
        <v>-645444.8200000001</v>
      </c>
      <c r="K22" s="18">
        <v>-219125.01</v>
      </c>
      <c r="L22" s="65">
        <v>0</v>
      </c>
    </row>
    <row r="23" spans="3:12" ht="12.75">
      <c r="C23" s="101"/>
      <c r="J23" s="19"/>
      <c r="K23" s="16" t="s">
        <v>48</v>
      </c>
      <c r="L23" s="64"/>
    </row>
    <row r="24" spans="1:12" ht="12.75">
      <c r="A24" s="16" t="s">
        <v>155</v>
      </c>
      <c r="J24" s="19"/>
      <c r="K24" s="16" t="s">
        <v>48</v>
      </c>
      <c r="L24" s="64"/>
    </row>
    <row r="25" spans="1:12" ht="12.75">
      <c r="A25" s="16" t="s">
        <v>156</v>
      </c>
      <c r="C25" s="101">
        <f>SUM(C20:C22)</f>
        <v>-30056.01</v>
      </c>
      <c r="D25" s="89">
        <f>SUM(D20:D22)</f>
        <v>366085.5599999999</v>
      </c>
      <c r="E25" s="89">
        <f>SUM(E20:E22)</f>
        <v>542127.8300000001</v>
      </c>
      <c r="H25" s="23">
        <f>H20+H22</f>
        <v>878157.3800000001</v>
      </c>
      <c r="I25" s="23">
        <v>1641660.6</v>
      </c>
      <c r="J25" s="23">
        <f>J20+J22</f>
        <v>878157.3800000001</v>
      </c>
      <c r="K25" s="23">
        <v>1641660.6</v>
      </c>
      <c r="L25" s="23">
        <f>L20+L22</f>
        <v>0</v>
      </c>
    </row>
    <row r="26" spans="1:12" ht="12.75">
      <c r="A26" s="24"/>
      <c r="B26" s="23"/>
      <c r="C26" s="101"/>
      <c r="J26" s="19"/>
      <c r="K26" s="16" t="s">
        <v>48</v>
      </c>
      <c r="L26" s="64"/>
    </row>
    <row r="27" spans="1:12" ht="12.75">
      <c r="A27" s="16" t="s">
        <v>157</v>
      </c>
      <c r="C27" s="101">
        <v>0</v>
      </c>
      <c r="D27" s="89">
        <v>0</v>
      </c>
      <c r="E27" s="89">
        <v>0</v>
      </c>
      <c r="H27" s="19">
        <v>0</v>
      </c>
      <c r="I27" s="19">
        <v>0</v>
      </c>
      <c r="J27" s="19">
        <f>C27+D27+E27-F27+G27</f>
        <v>0</v>
      </c>
      <c r="K27" s="19">
        <v>0</v>
      </c>
      <c r="L27" s="64">
        <v>0</v>
      </c>
    </row>
    <row r="28" spans="3:12" ht="12.75">
      <c r="C28" s="101"/>
      <c r="H28" s="23" t="s">
        <v>48</v>
      </c>
      <c r="J28" s="19"/>
      <c r="K28" s="16" t="s">
        <v>48</v>
      </c>
      <c r="L28" s="64"/>
    </row>
    <row r="29" spans="1:12" ht="12.75">
      <c r="A29" s="16" t="s">
        <v>70</v>
      </c>
      <c r="C29" s="101">
        <v>0</v>
      </c>
      <c r="D29" s="89">
        <v>-35186.21</v>
      </c>
      <c r="E29" s="89">
        <v>-798.12</v>
      </c>
      <c r="H29" s="23">
        <f>J29-L29</f>
        <v>-35984.33</v>
      </c>
      <c r="I29" s="19">
        <v>-27556.05</v>
      </c>
      <c r="J29" s="19">
        <f>C29+D29+E29-F29+G29</f>
        <v>-35984.33</v>
      </c>
      <c r="K29" s="19">
        <v>-27556.05</v>
      </c>
      <c r="L29" s="64">
        <v>0</v>
      </c>
    </row>
    <row r="30" spans="3:12" ht="12.75">
      <c r="C30" s="101"/>
      <c r="I30" s="19"/>
      <c r="J30" s="19"/>
      <c r="K30" s="19" t="s">
        <v>48</v>
      </c>
      <c r="L30" s="64"/>
    </row>
    <row r="31" spans="1:12" ht="12.75">
      <c r="A31" s="16" t="s">
        <v>158</v>
      </c>
      <c r="C31" s="101">
        <v>0</v>
      </c>
      <c r="D31" s="89">
        <v>0</v>
      </c>
      <c r="E31" s="89">
        <v>0</v>
      </c>
      <c r="F31" s="19">
        <f>+'WK Consol adj'!G36</f>
        <v>29123.18</v>
      </c>
      <c r="H31" s="23">
        <f>J31-L31</f>
        <v>-29123.18</v>
      </c>
      <c r="I31" s="19">
        <v>-29123.1815</v>
      </c>
      <c r="J31" s="19">
        <f>C31+D31+E31-F31+G31</f>
        <v>-29123.18</v>
      </c>
      <c r="K31" s="19">
        <v>-29123.181500000002</v>
      </c>
      <c r="L31" s="64">
        <v>0</v>
      </c>
    </row>
    <row r="32" spans="3:12" ht="12.75">
      <c r="C32" s="101"/>
      <c r="I32" s="19"/>
      <c r="J32" s="19"/>
      <c r="K32" s="19" t="s">
        <v>48</v>
      </c>
      <c r="L32" s="64"/>
    </row>
    <row r="33" spans="1:12" ht="12.75">
      <c r="A33" s="16" t="s">
        <v>159</v>
      </c>
      <c r="C33" s="100">
        <v>58692.6</v>
      </c>
      <c r="D33" s="90">
        <v>30704.75</v>
      </c>
      <c r="E33" s="90">
        <v>1273.97</v>
      </c>
      <c r="H33" s="105">
        <f>J33-L33</f>
        <v>90671.32</v>
      </c>
      <c r="I33" s="18">
        <v>19239</v>
      </c>
      <c r="J33" s="18">
        <f>C33+D33+E33-F33+G33</f>
        <v>90671.32</v>
      </c>
      <c r="K33" s="18">
        <v>19239</v>
      </c>
      <c r="L33" s="65">
        <v>0</v>
      </c>
    </row>
    <row r="34" spans="1:12" ht="12.75">
      <c r="A34" s="25"/>
      <c r="B34" s="26"/>
      <c r="C34" s="92"/>
      <c r="J34" s="19"/>
      <c r="K34" s="16" t="s">
        <v>48</v>
      </c>
      <c r="L34" s="64"/>
    </row>
    <row r="35" spans="1:12" ht="12.75">
      <c r="A35" s="27" t="s">
        <v>207</v>
      </c>
      <c r="C35" s="101">
        <f>SUM(C23:C33)</f>
        <v>28636.59</v>
      </c>
      <c r="D35" s="101">
        <f>SUM(D25:D33)</f>
        <v>361604.09999999986</v>
      </c>
      <c r="E35" s="101">
        <f>SUM(E25:E33)</f>
        <v>542603.68</v>
      </c>
      <c r="H35" s="23">
        <f>H25+H27+H29+H33+H31</f>
        <v>903721.1900000001</v>
      </c>
      <c r="I35" s="23">
        <v>1604220.3685000003</v>
      </c>
      <c r="J35" s="23">
        <f>J25+J27+J29+J33+J31</f>
        <v>903721.1900000001</v>
      </c>
      <c r="K35" s="23">
        <v>1604220.3685000003</v>
      </c>
      <c r="L35" s="23">
        <v>0</v>
      </c>
    </row>
    <row r="36" spans="3:12" ht="12.75">
      <c r="C36" s="99"/>
      <c r="J36" s="19"/>
      <c r="K36" s="16" t="s">
        <v>48</v>
      </c>
      <c r="L36" s="64"/>
    </row>
    <row r="37" spans="1:13" ht="12.75">
      <c r="A37" s="27" t="s">
        <v>103</v>
      </c>
      <c r="C37" s="100">
        <v>0</v>
      </c>
      <c r="D37" s="90">
        <v>-93816.6292</v>
      </c>
      <c r="E37" s="90">
        <v>0</v>
      </c>
      <c r="G37" s="112"/>
      <c r="H37" s="18">
        <f>J37-L37</f>
        <v>-93816.6292</v>
      </c>
      <c r="I37" s="329">
        <v>-329000</v>
      </c>
      <c r="J37" s="18">
        <f>C37+E37+D37</f>
        <v>-93816.6292</v>
      </c>
      <c r="K37" s="18">
        <v>-329000</v>
      </c>
      <c r="L37" s="65">
        <v>0</v>
      </c>
      <c r="M37" s="109"/>
    </row>
    <row r="38" spans="1:12" ht="12.75">
      <c r="A38" s="27"/>
      <c r="C38" s="101"/>
      <c r="J38" s="19"/>
      <c r="K38" s="16" t="s">
        <v>48</v>
      </c>
      <c r="L38" s="64"/>
    </row>
    <row r="39" spans="1:12" ht="12.75">
      <c r="A39" s="27" t="s">
        <v>160</v>
      </c>
      <c r="C39" s="99">
        <f>SUM(C35:C37)</f>
        <v>28636.59</v>
      </c>
      <c r="D39" s="99">
        <f>SUM(D35:D37)</f>
        <v>267787.4707999999</v>
      </c>
      <c r="E39" s="99">
        <f>SUM(E35:E37)</f>
        <v>542603.68</v>
      </c>
      <c r="H39" s="22">
        <f>H35+H37</f>
        <v>809904.5608000001</v>
      </c>
      <c r="I39" s="22">
        <v>1275220.3685000003</v>
      </c>
      <c r="J39" s="22">
        <f>J35+J37</f>
        <v>809904.5608000001</v>
      </c>
      <c r="K39" s="22">
        <v>1275220.3685000003</v>
      </c>
      <c r="L39" s="22">
        <v>0</v>
      </c>
    </row>
    <row r="40" spans="1:12" ht="12.75">
      <c r="A40" s="27"/>
      <c r="J40" s="29" t="s">
        <v>48</v>
      </c>
      <c r="K40" s="16" t="s">
        <v>48</v>
      </c>
      <c r="L40" s="64" t="s">
        <v>48</v>
      </c>
    </row>
    <row r="41" spans="1:12" ht="12.75">
      <c r="A41" s="27" t="s">
        <v>495</v>
      </c>
      <c r="H41" s="26">
        <v>0</v>
      </c>
      <c r="I41" s="26">
        <v>9441.89</v>
      </c>
      <c r="J41" s="320">
        <v>0</v>
      </c>
      <c r="K41" s="318">
        <v>9441.89</v>
      </c>
      <c r="L41" s="318"/>
    </row>
    <row r="42" spans="1:12" ht="12.75">
      <c r="A42" s="27"/>
      <c r="H42" s="18"/>
      <c r="I42" s="18"/>
      <c r="J42" s="63"/>
      <c r="K42" s="63" t="s">
        <v>48</v>
      </c>
      <c r="L42" s="65"/>
    </row>
    <row r="43" spans="1:12" ht="12.75">
      <c r="A43" s="27" t="s">
        <v>496</v>
      </c>
      <c r="J43" s="29"/>
      <c r="K43" s="16" t="s">
        <v>48</v>
      </c>
      <c r="L43" s="64"/>
    </row>
    <row r="44" spans="1:12" ht="12.75">
      <c r="A44" s="27" t="s">
        <v>497</v>
      </c>
      <c r="H44" s="19">
        <f>+H39+H41</f>
        <v>809904.5608000001</v>
      </c>
      <c r="I44" s="64">
        <f>+I39+I41</f>
        <v>1284662.2585000002</v>
      </c>
      <c r="J44" s="19">
        <f>+J39+J41</f>
        <v>809904.5608000001</v>
      </c>
      <c r="K44" s="19">
        <v>1284662.2585000002</v>
      </c>
      <c r="L44" s="64"/>
    </row>
    <row r="45" spans="1:12" ht="12.75">
      <c r="A45" s="27"/>
      <c r="J45" s="29"/>
      <c r="K45" s="16" t="s">
        <v>48</v>
      </c>
      <c r="L45" s="64"/>
    </row>
    <row r="46" spans="1:12" s="53" customFormat="1" ht="15.75" customHeight="1">
      <c r="A46" s="55" t="s">
        <v>67</v>
      </c>
      <c r="B46" s="54"/>
      <c r="C46" s="102">
        <v>-30085.11</v>
      </c>
      <c r="D46" s="102">
        <v>-25024.83</v>
      </c>
      <c r="E46" s="102">
        <v>752076</v>
      </c>
      <c r="F46" s="54">
        <f>-'WK Consol adj'!D30</f>
        <v>752076</v>
      </c>
      <c r="G46" s="54">
        <f>'WK Consol adj'!D15</f>
        <v>25025</v>
      </c>
      <c r="H46" s="311">
        <v>798140.4531922888</v>
      </c>
      <c r="I46" s="54">
        <v>-30085</v>
      </c>
      <c r="J46" s="54">
        <v>3488847.294</v>
      </c>
      <c r="K46" s="54">
        <v>-30085</v>
      </c>
      <c r="L46" s="312">
        <v>0</v>
      </c>
    </row>
    <row r="47" spans="1:12" s="53" customFormat="1" ht="15.75" customHeight="1">
      <c r="A47" s="55"/>
      <c r="B47" s="54"/>
      <c r="C47" s="102"/>
      <c r="D47" s="102"/>
      <c r="E47" s="102"/>
      <c r="F47" s="54"/>
      <c r="G47" s="54"/>
      <c r="J47" s="56"/>
      <c r="L47" s="64"/>
    </row>
    <row r="48" spans="1:12" s="53" customFormat="1" ht="16.5" customHeight="1" thickBot="1">
      <c r="A48" s="55" t="s">
        <v>68</v>
      </c>
      <c r="B48" s="54"/>
      <c r="C48" s="103">
        <f>+C39+C46</f>
        <v>-1448.5200000000004</v>
      </c>
      <c r="D48" s="103">
        <f>+D39+D46</f>
        <v>242762.64079999988</v>
      </c>
      <c r="E48" s="103">
        <f>+E39+E46</f>
        <v>1294679.6800000002</v>
      </c>
      <c r="F48" s="54"/>
      <c r="G48" s="54"/>
      <c r="H48" s="57">
        <f>+H39+H46</f>
        <v>1608045.0139922888</v>
      </c>
      <c r="I48" s="57">
        <v>1254577.2585000002</v>
      </c>
      <c r="J48" s="57">
        <f>+J39+J46</f>
        <v>4298751.854800001</v>
      </c>
      <c r="K48" s="57">
        <v>1254577.2585000002</v>
      </c>
      <c r="L48" s="57">
        <f>+L39+L46</f>
        <v>0</v>
      </c>
    </row>
    <row r="49" spans="3:12" ht="13.5" thickTop="1">
      <c r="C49" s="114"/>
      <c r="I49" s="16" t="s">
        <v>48</v>
      </c>
      <c r="J49" s="19" t="s">
        <v>48</v>
      </c>
      <c r="L49" s="16" t="s">
        <v>48</v>
      </c>
    </row>
    <row r="50" spans="1:12" s="68" customFormat="1" ht="12.75">
      <c r="A50" s="16" t="s">
        <v>161</v>
      </c>
      <c r="B50" s="69"/>
      <c r="C50" s="115"/>
      <c r="D50" s="104"/>
      <c r="E50" s="104"/>
      <c r="F50" s="69"/>
      <c r="G50" s="69"/>
      <c r="H50" s="19">
        <f>(1000000+90*(3223226+2500000)/90+90*3000000/90)*10</f>
        <v>97232260</v>
      </c>
      <c r="I50" s="19">
        <v>55149894</v>
      </c>
      <c r="J50" s="19">
        <f>(1000000+90*(3223226+2500000)/90+90*3000000/90)*10</f>
        <v>97232260</v>
      </c>
      <c r="K50" s="19">
        <v>55149894</v>
      </c>
      <c r="L50" s="19">
        <v>81370792.3076923</v>
      </c>
    </row>
    <row r="51" ht="12.75">
      <c r="H51" s="16"/>
    </row>
    <row r="52" spans="1:8" ht="12.75">
      <c r="A52" s="16" t="s">
        <v>162</v>
      </c>
      <c r="H52" s="16"/>
    </row>
    <row r="53" spans="1:12" ht="12.75">
      <c r="A53" s="58" t="s">
        <v>163</v>
      </c>
      <c r="H53" s="66">
        <f>H48*100/H50</f>
        <v>1.653818407586421</v>
      </c>
      <c r="I53" s="319">
        <v>2.3294011381055424</v>
      </c>
      <c r="J53" s="66">
        <f>J48*100/J50</f>
        <v>4.421116874996016</v>
      </c>
      <c r="K53" s="319">
        <v>2.3294011381055424</v>
      </c>
      <c r="L53" s="66">
        <f>L48*100/L50</f>
        <v>0</v>
      </c>
    </row>
    <row r="54" spans="1:12" ht="12.75">
      <c r="A54" s="58" t="s">
        <v>164</v>
      </c>
      <c r="H54" s="79" t="s">
        <v>205</v>
      </c>
      <c r="I54" s="110" t="s">
        <v>205</v>
      </c>
      <c r="J54" s="79" t="s">
        <v>205</v>
      </c>
      <c r="K54" s="110" t="s">
        <v>205</v>
      </c>
      <c r="L54" s="79" t="s">
        <v>205</v>
      </c>
    </row>
    <row r="56" ht="12.75">
      <c r="J56" s="64">
        <f>+J48-'Balance Sheet'!I45</f>
        <v>0.19480000156909227</v>
      </c>
    </row>
    <row r="72" ht="12.75">
      <c r="A72" s="16" t="s">
        <v>168</v>
      </c>
    </row>
    <row r="73" ht="12.75">
      <c r="A73" s="16" t="s">
        <v>167</v>
      </c>
    </row>
  </sheetData>
  <sheetProtection/>
  <mergeCells count="1">
    <mergeCell ref="C12:E12"/>
  </mergeCells>
  <printOptions/>
  <pageMargins left="0.51" right="0.39" top="0.3" bottom="0.55" header="0.16" footer="0.34"/>
  <pageSetup fitToHeight="1" fitToWidth="1" horizontalDpi="600" verticalDpi="600" orientation="landscape" paperSize="9" scale="79"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
      <selection activeCell="A1" sqref="A1:IV16384"/>
    </sheetView>
  </sheetViews>
  <sheetFormatPr defaultColWidth="9.140625" defaultRowHeight="12.75"/>
  <cols>
    <col min="1" max="1" width="46.140625" style="0" customWidth="1"/>
    <col min="2" max="4" width="15.57421875" style="10" customWidth="1"/>
    <col min="5" max="5" width="14.421875" style="10" customWidth="1"/>
    <col min="6" max="6" width="14.28125" style="1" hidden="1" customWidth="1"/>
    <col min="7" max="7" width="11.8515625" style="0" customWidth="1"/>
    <col min="8" max="8" width="10.8515625" style="331" customWidth="1"/>
  </cols>
  <sheetData>
    <row r="1" ht="12.75">
      <c r="A1" s="9" t="s">
        <v>171</v>
      </c>
    </row>
    <row r="2" ht="12.75">
      <c r="A2" s="16" t="s">
        <v>62</v>
      </c>
    </row>
    <row r="3" ht="12.75">
      <c r="A3" s="32" t="s">
        <v>63</v>
      </c>
    </row>
    <row r="4" ht="12.75">
      <c r="A4" s="32" t="s">
        <v>498</v>
      </c>
    </row>
    <row r="5" ht="12.75">
      <c r="A5" s="33" t="s">
        <v>23</v>
      </c>
    </row>
    <row r="6" ht="12.75">
      <c r="A6" s="16"/>
    </row>
    <row r="7" ht="12.75">
      <c r="A7" s="16"/>
    </row>
    <row r="8" ht="12.75">
      <c r="A8" s="59"/>
    </row>
    <row r="9" ht="12.75">
      <c r="A9" s="31" t="s">
        <v>64</v>
      </c>
    </row>
    <row r="10" ht="12.75">
      <c r="A10" s="31" t="s">
        <v>499</v>
      </c>
    </row>
    <row r="11" spans="1:6" ht="12.75">
      <c r="A11" s="53"/>
      <c r="B11" s="418" t="s">
        <v>169</v>
      </c>
      <c r="C11" s="418"/>
      <c r="D11" s="418" t="s">
        <v>248</v>
      </c>
      <c r="E11" s="418"/>
      <c r="F11" s="97"/>
    </row>
    <row r="12" spans="1:6" ht="12.75">
      <c r="A12" s="53"/>
      <c r="B12" s="80" t="s">
        <v>165</v>
      </c>
      <c r="C12" s="80" t="s">
        <v>165</v>
      </c>
      <c r="D12" s="80" t="s">
        <v>166</v>
      </c>
      <c r="E12" s="80" t="s">
        <v>166</v>
      </c>
      <c r="F12" s="80" t="s">
        <v>166</v>
      </c>
    </row>
    <row r="13" spans="1:6" ht="12.75">
      <c r="A13" s="59"/>
      <c r="B13" s="39" t="s">
        <v>486</v>
      </c>
      <c r="C13" s="39" t="s">
        <v>487</v>
      </c>
      <c r="D13" s="39" t="s">
        <v>486</v>
      </c>
      <c r="E13" s="39" t="s">
        <v>487</v>
      </c>
      <c r="F13" s="39" t="s">
        <v>480</v>
      </c>
    </row>
    <row r="14" spans="1:6" ht="12.75">
      <c r="A14" s="28"/>
      <c r="B14" s="11" t="s">
        <v>4</v>
      </c>
      <c r="C14" s="11" t="s">
        <v>4</v>
      </c>
      <c r="D14" s="11" t="s">
        <v>4</v>
      </c>
      <c r="E14" s="11" t="s">
        <v>4</v>
      </c>
      <c r="F14" s="11" t="s">
        <v>4</v>
      </c>
    </row>
    <row r="15" ht="12.75">
      <c r="A15" s="16"/>
    </row>
    <row r="16" spans="1:7" ht="12.75">
      <c r="A16" s="16" t="s">
        <v>151</v>
      </c>
      <c r="B16" s="10">
        <f>D16-F16</f>
        <v>3234676</v>
      </c>
      <c r="C16" s="10">
        <v>4258082</v>
      </c>
      <c r="D16" s="10">
        <v>3234676</v>
      </c>
      <c r="E16" s="10">
        <v>4258082</v>
      </c>
      <c r="F16" s="10">
        <f>PL!L16</f>
        <v>0</v>
      </c>
      <c r="G16" s="21"/>
    </row>
    <row r="17" spans="1:7" ht="12.75">
      <c r="A17" s="16"/>
      <c r="F17" s="10"/>
      <c r="G17" s="21"/>
    </row>
    <row r="18" spans="1:7" ht="12.75">
      <c r="A18" s="16" t="s">
        <v>507</v>
      </c>
      <c r="B18" s="10">
        <v>-1711073</v>
      </c>
      <c r="C18" s="10">
        <v>-2437872</v>
      </c>
      <c r="D18" s="10">
        <v>-1711073</v>
      </c>
      <c r="E18" s="10">
        <v>-2437872</v>
      </c>
      <c r="F18" s="10"/>
      <c r="G18" s="21"/>
    </row>
    <row r="19" spans="1:6" ht="12.75">
      <c r="A19" s="16"/>
      <c r="F19" s="10"/>
    </row>
    <row r="20" spans="1:6" ht="12.75">
      <c r="A20" s="16" t="s">
        <v>508</v>
      </c>
      <c r="B20" s="10">
        <f>B16+B18</f>
        <v>1523603</v>
      </c>
      <c r="C20" s="10">
        <f>C16+C18</f>
        <v>1820210</v>
      </c>
      <c r="D20" s="10">
        <f>D16+D18</f>
        <v>1523603</v>
      </c>
      <c r="E20" s="10">
        <f>E16+E18</f>
        <v>1820210</v>
      </c>
      <c r="F20" s="10"/>
    </row>
    <row r="21" spans="1:6" ht="12.75">
      <c r="A21" s="16"/>
      <c r="F21" s="10"/>
    </row>
    <row r="22" spans="1:6" ht="12.75">
      <c r="A22" s="16" t="s">
        <v>206</v>
      </c>
      <c r="B22" s="10">
        <v>90671</v>
      </c>
      <c r="C22" s="10">
        <v>16644</v>
      </c>
      <c r="D22" s="10">
        <v>90671</v>
      </c>
      <c r="E22" s="10">
        <v>16644</v>
      </c>
      <c r="F22" s="10"/>
    </row>
    <row r="23" spans="1:6" ht="12.75">
      <c r="A23" s="16"/>
      <c r="F23" s="10"/>
    </row>
    <row r="24" spans="1:6" ht="12.75">
      <c r="A24" s="16" t="s">
        <v>509</v>
      </c>
      <c r="B24" s="10">
        <v>-86963</v>
      </c>
      <c r="C24" s="10">
        <v>-16592</v>
      </c>
      <c r="D24" s="10">
        <v>-86963</v>
      </c>
      <c r="E24" s="10">
        <v>-16592</v>
      </c>
      <c r="F24" s="10"/>
    </row>
    <row r="25" spans="1:6" ht="12.75">
      <c r="A25" s="16"/>
      <c r="F25" s="10"/>
    </row>
    <row r="26" spans="1:6" ht="12.75">
      <c r="A26" s="16" t="s">
        <v>510</v>
      </c>
      <c r="B26" s="10">
        <v>-426058</v>
      </c>
      <c r="C26" s="10">
        <v>-130462</v>
      </c>
      <c r="D26" s="10">
        <v>-426058</v>
      </c>
      <c r="E26" s="10">
        <v>-130462</v>
      </c>
      <c r="F26" s="10"/>
    </row>
    <row r="27" spans="1:6" ht="12.75">
      <c r="A27" s="16"/>
      <c r="F27" s="10"/>
    </row>
    <row r="28" spans="1:7" ht="12.75">
      <c r="A28" s="16" t="s">
        <v>511</v>
      </c>
      <c r="B28" s="10">
        <v>-197533</v>
      </c>
      <c r="C28" s="10">
        <v>-78138</v>
      </c>
      <c r="D28" s="10">
        <v>-197533</v>
      </c>
      <c r="E28" s="10">
        <v>-78138</v>
      </c>
      <c r="F28" s="10">
        <f>PL!L18+PL!L22+PL!L29+PL!L31</f>
        <v>0</v>
      </c>
      <c r="G28" s="21"/>
    </row>
    <row r="29" spans="1:6" ht="12.75">
      <c r="A29" s="16"/>
      <c r="F29" s="10"/>
    </row>
    <row r="30" spans="1:6" ht="12.75">
      <c r="A30" s="16" t="s">
        <v>207</v>
      </c>
      <c r="B30" s="10">
        <f>SUM(B20:B28)</f>
        <v>903720</v>
      </c>
      <c r="C30" s="10">
        <f>SUM(C20:C28)</f>
        <v>1611662</v>
      </c>
      <c r="D30" s="10">
        <f>SUM(D20:D28)</f>
        <v>903720</v>
      </c>
      <c r="E30" s="10">
        <f>SUM(E20:E28)</f>
        <v>1611662</v>
      </c>
      <c r="F30" s="10"/>
    </row>
    <row r="31" spans="1:6" ht="12.75">
      <c r="A31" s="16"/>
      <c r="F31" s="10"/>
    </row>
    <row r="32" spans="1:6" ht="12.75">
      <c r="A32" s="16" t="s">
        <v>103</v>
      </c>
      <c r="B32" s="10">
        <v>-93817</v>
      </c>
      <c r="C32" s="10">
        <v>-327000</v>
      </c>
      <c r="D32" s="10">
        <v>-93817</v>
      </c>
      <c r="E32" s="10">
        <v>-327000</v>
      </c>
      <c r="F32" s="10"/>
    </row>
    <row r="33" spans="1:6" ht="12.75">
      <c r="A33" s="16"/>
      <c r="F33" s="10"/>
    </row>
    <row r="34" spans="1:6" ht="13.5" thickBot="1">
      <c r="A34" s="16" t="s">
        <v>512</v>
      </c>
      <c r="B34" s="15">
        <f>SUM(B30:B32)</f>
        <v>809903</v>
      </c>
      <c r="C34" s="15">
        <f>SUM(C30:C32)</f>
        <v>1284662</v>
      </c>
      <c r="D34" s="15">
        <f>SUM(D30:D32)</f>
        <v>809903</v>
      </c>
      <c r="E34" s="15">
        <f>SUM(E30:E32)</f>
        <v>1284662</v>
      </c>
      <c r="F34" s="10"/>
    </row>
    <row r="35" spans="1:6" ht="13.5" customHeight="1" thickTop="1">
      <c r="A35" s="16"/>
      <c r="F35" s="10"/>
    </row>
    <row r="36" ht="12.75">
      <c r="A36" s="27"/>
    </row>
    <row r="37" spans="1:6" ht="12.75">
      <c r="A37" s="16" t="s">
        <v>161</v>
      </c>
      <c r="B37" s="19">
        <f>PL!H50</f>
        <v>97232260</v>
      </c>
      <c r="C37" s="10">
        <v>55149894</v>
      </c>
      <c r="D37" s="19">
        <f>PL!J50</f>
        <v>97232260</v>
      </c>
      <c r="E37" s="10">
        <v>55149894</v>
      </c>
      <c r="F37" s="19">
        <f>PL!L50</f>
        <v>81370792.3076923</v>
      </c>
    </row>
    <row r="38" spans="1:6" ht="12.75">
      <c r="A38" s="16"/>
      <c r="F38" s="10"/>
    </row>
    <row r="39" spans="1:6" ht="12.75">
      <c r="A39" s="16" t="s">
        <v>162</v>
      </c>
      <c r="F39" s="10"/>
    </row>
    <row r="40" spans="1:6" ht="12.75">
      <c r="A40" s="58" t="s">
        <v>163</v>
      </c>
      <c r="B40" s="77">
        <f>B34/B37*(100)</f>
        <v>0.8329570864649243</v>
      </c>
      <c r="C40" s="77">
        <v>2.3294011381055424</v>
      </c>
      <c r="D40" s="77">
        <v>0.83</v>
      </c>
      <c r="E40" s="77">
        <v>2.3294011381055424</v>
      </c>
      <c r="F40" s="77" t="e">
        <f>#REF!*100/F37</f>
        <v>#REF!</v>
      </c>
    </row>
    <row r="41" spans="1:6" ht="12.75">
      <c r="A41" s="58" t="s">
        <v>164</v>
      </c>
      <c r="B41" s="81" t="s">
        <v>205</v>
      </c>
      <c r="C41" s="81" t="s">
        <v>205</v>
      </c>
      <c r="D41" s="81" t="s">
        <v>205</v>
      </c>
      <c r="E41" s="81" t="s">
        <v>205</v>
      </c>
      <c r="F41" s="81" t="s">
        <v>205</v>
      </c>
    </row>
    <row r="42" ht="12.75">
      <c r="A42" s="27" t="s">
        <v>48</v>
      </c>
    </row>
    <row r="43" ht="12.75">
      <c r="A43" s="27"/>
    </row>
    <row r="46" ht="12.75">
      <c r="A46" s="82" t="s">
        <v>208</v>
      </c>
    </row>
    <row r="48" ht="12.75">
      <c r="A48" s="16" t="s">
        <v>209</v>
      </c>
    </row>
    <row r="49" ht="12.75">
      <c r="A49" s="16" t="s">
        <v>504</v>
      </c>
    </row>
  </sheetData>
  <sheetProtection/>
  <mergeCells count="2">
    <mergeCell ref="D11:E11"/>
    <mergeCell ref="B11:C11"/>
  </mergeCells>
  <printOptions/>
  <pageMargins left="0.75" right="0.5" top="1" bottom="0.5" header="0.5" footer="0.36"/>
  <pageSetup fitToHeight="1" fitToWidth="1" horizontalDpi="300" verticalDpi="300" orientation="portrait" paperSize="9" scale="83"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75" zoomScaleNormal="75" zoomScalePageLayoutView="0" workbookViewId="0" topLeftCell="A19">
      <selection activeCell="D22" sqref="D22"/>
    </sheetView>
  </sheetViews>
  <sheetFormatPr defaultColWidth="9.140625" defaultRowHeight="12.75"/>
  <cols>
    <col min="1" max="1" width="60.8515625" style="16" customWidth="1"/>
    <col min="2" max="2" width="14.00390625" style="95" bestFit="1" customWidth="1"/>
    <col min="3" max="3" width="16.00390625" style="95" bestFit="1" customWidth="1"/>
    <col min="4" max="4" width="12.8515625" style="95" bestFit="1" customWidth="1"/>
    <col min="5" max="5" width="6.28125" style="126" bestFit="1" customWidth="1"/>
    <col min="6" max="6" width="14.421875" style="10" bestFit="1" customWidth="1"/>
    <col min="7" max="7" width="9.8515625" style="36" bestFit="1" customWidth="1"/>
    <col min="8" max="8" width="14.421875" style="10" bestFit="1" customWidth="1"/>
    <col min="9" max="9" width="17.28125" style="10" bestFit="1" customWidth="1"/>
    <col min="10" max="10" width="17.28125" style="0" bestFit="1" customWidth="1"/>
  </cols>
  <sheetData>
    <row r="1" ht="12.75">
      <c r="A1" s="9" t="s">
        <v>148</v>
      </c>
    </row>
    <row r="2" ht="12.75">
      <c r="A2" s="16" t="s">
        <v>62</v>
      </c>
    </row>
    <row r="3" ht="12.75">
      <c r="A3" s="32" t="s">
        <v>247</v>
      </c>
    </row>
    <row r="4" ht="12.75">
      <c r="A4" s="32" t="s">
        <v>500</v>
      </c>
    </row>
    <row r="5" ht="12.75">
      <c r="A5" s="33" t="s">
        <v>23</v>
      </c>
    </row>
    <row r="7" ht="12.75">
      <c r="A7" s="32" t="s">
        <v>501</v>
      </c>
    </row>
    <row r="8" spans="1:10" ht="12.75">
      <c r="A8" s="32"/>
      <c r="B8" s="96"/>
      <c r="C8" s="96"/>
      <c r="D8" s="96"/>
      <c r="E8" s="96"/>
      <c r="F8" s="11"/>
      <c r="G8" s="11"/>
      <c r="H8" s="11"/>
      <c r="I8" s="321"/>
      <c r="J8" s="323"/>
    </row>
    <row r="9" spans="1:10" ht="12.75">
      <c r="A9" s="32"/>
      <c r="B9" s="96" t="s">
        <v>38</v>
      </c>
      <c r="C9" s="96" t="s">
        <v>39</v>
      </c>
      <c r="D9" s="96" t="s">
        <v>40</v>
      </c>
      <c r="E9" s="96" t="s">
        <v>246</v>
      </c>
      <c r="F9" s="11" t="s">
        <v>47</v>
      </c>
      <c r="G9" s="11" t="s">
        <v>246</v>
      </c>
      <c r="H9" s="11" t="s">
        <v>47</v>
      </c>
      <c r="I9" s="11" t="s">
        <v>469</v>
      </c>
      <c r="J9" s="11" t="s">
        <v>469</v>
      </c>
    </row>
    <row r="10" spans="1:10" ht="12.75">
      <c r="A10" s="32"/>
      <c r="F10" s="11" t="s">
        <v>2</v>
      </c>
      <c r="G10" s="11"/>
      <c r="H10" s="11" t="s">
        <v>3</v>
      </c>
      <c r="I10" s="39" t="s">
        <v>486</v>
      </c>
      <c r="J10" s="67" t="s">
        <v>487</v>
      </c>
    </row>
    <row r="11" spans="1:10" ht="12.75">
      <c r="A11" s="32"/>
      <c r="B11" s="96" t="s">
        <v>4</v>
      </c>
      <c r="C11" s="96" t="s">
        <v>4</v>
      </c>
      <c r="D11" s="96" t="s">
        <v>4</v>
      </c>
      <c r="E11" s="96"/>
      <c r="F11" s="11" t="s">
        <v>4</v>
      </c>
      <c r="G11" s="11"/>
      <c r="H11" s="11" t="s">
        <v>4</v>
      </c>
      <c r="I11" s="11" t="s">
        <v>4</v>
      </c>
      <c r="J11" s="67" t="s">
        <v>4</v>
      </c>
    </row>
    <row r="13" spans="1:10" ht="12.75">
      <c r="A13" s="9" t="s">
        <v>149</v>
      </c>
      <c r="B13" s="290"/>
      <c r="C13" s="95">
        <v>1577712.52</v>
      </c>
      <c r="D13" s="95">
        <v>13581.91</v>
      </c>
      <c r="E13" s="292"/>
      <c r="G13" s="289"/>
      <c r="H13" s="77"/>
      <c r="I13" s="10">
        <f>B13+C13+D13+F13-H13</f>
        <v>1591294.43</v>
      </c>
      <c r="J13" s="10">
        <v>1277003.78</v>
      </c>
    </row>
    <row r="14" spans="1:10" ht="12.75">
      <c r="A14" s="52" t="s">
        <v>6</v>
      </c>
      <c r="B14" s="95">
        <v>3223226</v>
      </c>
      <c r="E14" s="292"/>
      <c r="G14" s="317" t="s">
        <v>491</v>
      </c>
      <c r="H14" s="10">
        <f>'WK Consol adj'!F9</f>
        <v>3223226</v>
      </c>
      <c r="I14" s="10">
        <f>B14+C14+D14+F14-H14</f>
        <v>0</v>
      </c>
      <c r="J14" s="10">
        <v>0</v>
      </c>
    </row>
    <row r="15" spans="1:10" ht="12.75">
      <c r="A15" s="52" t="s">
        <v>18</v>
      </c>
      <c r="B15" s="95">
        <v>2500000</v>
      </c>
      <c r="E15" s="292"/>
      <c r="G15" s="317" t="s">
        <v>492</v>
      </c>
      <c r="H15" s="10">
        <f>'WK Consol adj'!F24</f>
        <v>2500000</v>
      </c>
      <c r="I15" s="10">
        <f>B15+C15+D15+F15-H15</f>
        <v>0</v>
      </c>
      <c r="J15" s="10">
        <v>0</v>
      </c>
    </row>
    <row r="16" spans="1:10" ht="12.75">
      <c r="A16" s="9" t="s">
        <v>238</v>
      </c>
      <c r="B16" s="302">
        <v>200000</v>
      </c>
      <c r="C16" s="302"/>
      <c r="E16" s="292"/>
      <c r="I16" s="10">
        <f>B16+C16+D16+F16-H16</f>
        <v>200000</v>
      </c>
      <c r="J16" s="10">
        <v>0</v>
      </c>
    </row>
    <row r="17" spans="1:10" ht="12.75">
      <c r="A17" s="9" t="s">
        <v>239</v>
      </c>
      <c r="B17" s="302"/>
      <c r="C17" s="302"/>
      <c r="D17" s="95">
        <v>135000</v>
      </c>
      <c r="E17" s="292"/>
      <c r="I17" s="10">
        <f>B17+C17+D17+F17-H17</f>
        <v>135000</v>
      </c>
      <c r="J17" s="10">
        <v>0</v>
      </c>
    </row>
    <row r="18" spans="1:10" ht="12.75">
      <c r="A18" s="9" t="s">
        <v>5</v>
      </c>
      <c r="E18" s="315" t="s">
        <v>491</v>
      </c>
      <c r="F18" s="10">
        <f>'WK Consol adj'!E7</f>
        <v>20740.54</v>
      </c>
      <c r="G18" s="317" t="s">
        <v>493</v>
      </c>
      <c r="H18" s="10">
        <f>+'WK Consol adj'!H37+116493</f>
        <v>145616.18</v>
      </c>
      <c r="I18" s="10">
        <f>B18+C18+D18+F18-H18+F19-0.3</f>
        <v>1601774.4100000001</v>
      </c>
      <c r="J18" s="10">
        <v>1718267.7085000002</v>
      </c>
    </row>
    <row r="19" spans="5:10" ht="12.75">
      <c r="E19" s="315" t="s">
        <v>492</v>
      </c>
      <c r="F19" s="10">
        <f>'WK Consol adj'!E22</f>
        <v>1726650.35</v>
      </c>
      <c r="G19" s="289"/>
      <c r="J19" s="10"/>
    </row>
    <row r="20" spans="1:10" ht="12.75">
      <c r="A20" s="9" t="s">
        <v>25</v>
      </c>
      <c r="G20" s="289"/>
      <c r="J20" s="10"/>
    </row>
    <row r="21" spans="1:10" ht="12.75">
      <c r="A21" s="16" t="s">
        <v>28</v>
      </c>
      <c r="B21" s="306"/>
      <c r="C21" s="303">
        <v>803525.85</v>
      </c>
      <c r="D21" s="306"/>
      <c r="E21" s="291"/>
      <c r="G21" s="289"/>
      <c r="I21" s="12">
        <f aca="true" t="shared" si="0" ref="I21:I26">B21+C21+D21+F21-H21</f>
        <v>803525.85</v>
      </c>
      <c r="J21" s="12">
        <v>735885.85</v>
      </c>
    </row>
    <row r="22" spans="1:10" ht="12.75">
      <c r="A22" s="16" t="s">
        <v>26</v>
      </c>
      <c r="B22" s="307">
        <v>2490</v>
      </c>
      <c r="C22" s="304">
        <v>533434.47</v>
      </c>
      <c r="D22" s="307">
        <f>947936.22+160000</f>
        <v>1107936.22</v>
      </c>
      <c r="E22" s="291"/>
      <c r="G22" s="289" t="s">
        <v>264</v>
      </c>
      <c r="H22" s="300">
        <f>+'WK Consol adj'!H42+'WK Consol adj'!G56+170044</f>
        <v>990312.51</v>
      </c>
      <c r="I22" s="13">
        <f t="shared" si="0"/>
        <v>653548.1799999999</v>
      </c>
      <c r="J22" s="13">
        <v>1658244</v>
      </c>
    </row>
    <row r="23" spans="1:10" ht="12.75">
      <c r="A23" s="16" t="s">
        <v>150</v>
      </c>
      <c r="B23" s="307">
        <f>2773.34+500</f>
        <v>3273.34</v>
      </c>
      <c r="C23" s="304">
        <f>274000+134884+2490680-16932</f>
        <v>2882632</v>
      </c>
      <c r="D23" s="307">
        <f>1082634.71-38820+5400</f>
        <v>1049214.71</v>
      </c>
      <c r="E23" s="291" t="s">
        <v>468</v>
      </c>
      <c r="F23" s="10">
        <f>+'WK Consol adj'!G61</f>
        <v>38820</v>
      </c>
      <c r="G23" s="289" t="s">
        <v>478</v>
      </c>
      <c r="H23" s="300">
        <f>+'WK Consol adj'!H47+'WK Consol adj'!H52-170044</f>
        <v>3403270.71</v>
      </c>
      <c r="I23" s="13">
        <f t="shared" si="0"/>
        <v>570669.3399999999</v>
      </c>
      <c r="J23" s="13">
        <v>435478.5</v>
      </c>
    </row>
    <row r="24" spans="1:10" ht="12.75">
      <c r="A24" s="16" t="s">
        <v>100</v>
      </c>
      <c r="B24" s="307">
        <v>10578514.18</v>
      </c>
      <c r="C24" s="95">
        <f>6203379-1203379+3502553</f>
        <v>8502553</v>
      </c>
      <c r="D24" s="307"/>
      <c r="E24" s="291"/>
      <c r="G24" s="289"/>
      <c r="I24" s="13">
        <f t="shared" si="0"/>
        <v>19081067.18</v>
      </c>
      <c r="J24" s="13">
        <v>3000000</v>
      </c>
    </row>
    <row r="25" spans="1:10" ht="12.75">
      <c r="A25" s="16" t="s">
        <v>42</v>
      </c>
      <c r="B25" s="307">
        <v>1002459.02</v>
      </c>
      <c r="C25" s="304">
        <f>25690.7</f>
        <v>25690.7</v>
      </c>
      <c r="D25" s="307"/>
      <c r="E25" s="291"/>
      <c r="G25" s="289"/>
      <c r="I25" s="13">
        <f>B25+C25+D25+F25-H25-0.5</f>
        <v>1028149.22</v>
      </c>
      <c r="J25" s="13">
        <v>900000</v>
      </c>
    </row>
    <row r="26" spans="1:10" ht="12.75">
      <c r="A26" s="16" t="s">
        <v>27</v>
      </c>
      <c r="B26" s="308">
        <v>441101.63</v>
      </c>
      <c r="C26" s="305">
        <v>682547</v>
      </c>
      <c r="D26" s="308">
        <v>683526</v>
      </c>
      <c r="E26" s="291"/>
      <c r="G26" s="289"/>
      <c r="I26" s="14">
        <f t="shared" si="0"/>
        <v>1807174.63</v>
      </c>
      <c r="J26" s="14">
        <v>681734.71</v>
      </c>
    </row>
    <row r="27" spans="2:10" ht="12.75">
      <c r="B27" s="95">
        <f>SUM(B21:B26)</f>
        <v>12027838.17</v>
      </c>
      <c r="C27" s="95">
        <f>SUM(C21:C26)</f>
        <v>13430383.02</v>
      </c>
      <c r="D27" s="95">
        <f>SUM(D21:D26)</f>
        <v>2840676.9299999997</v>
      </c>
      <c r="G27" s="289"/>
      <c r="I27" s="10">
        <f>SUM(I21:I26)</f>
        <v>23944134.4</v>
      </c>
      <c r="J27" s="10">
        <f>SUM(J21:J26)</f>
        <v>7411343.06</v>
      </c>
    </row>
    <row r="28" spans="7:10" ht="12.75">
      <c r="G28" s="289"/>
      <c r="J28" s="10"/>
    </row>
    <row r="29" spans="1:10" ht="12.75">
      <c r="A29" s="9" t="s">
        <v>29</v>
      </c>
      <c r="G29" s="289"/>
      <c r="J29" s="10"/>
    </row>
    <row r="30" spans="1:10" ht="12.75">
      <c r="A30" s="16" t="s">
        <v>30</v>
      </c>
      <c r="B30" s="325"/>
      <c r="C30" s="306">
        <v>1337631.54</v>
      </c>
      <c r="D30" s="303">
        <v>368.46</v>
      </c>
      <c r="E30" s="291" t="s">
        <v>479</v>
      </c>
      <c r="F30" s="300">
        <f>+'WK Consol adj'!G56</f>
        <v>766522.22</v>
      </c>
      <c r="G30" s="293"/>
      <c r="I30" s="12">
        <f>B30+C30+D30-F30+H30</f>
        <v>571477.78</v>
      </c>
      <c r="J30" s="12">
        <v>876954.9</v>
      </c>
    </row>
    <row r="31" spans="1:10" ht="12.75">
      <c r="A31" s="16" t="s">
        <v>31</v>
      </c>
      <c r="B31" s="326">
        <f>80636.19+2490680-38820+41425</f>
        <v>2573921.19</v>
      </c>
      <c r="C31" s="307">
        <f>280550+1082634.71+305187</f>
        <v>1668371.71</v>
      </c>
      <c r="D31" s="304">
        <f>7216.51+3275+9125</f>
        <v>19616.510000000002</v>
      </c>
      <c r="E31" s="291" t="s">
        <v>477</v>
      </c>
      <c r="F31" s="300">
        <f>+'WK Consol adj'!G41+'WK Consol adj'!G46+'WK Consol adj'!G51</f>
        <v>3627061</v>
      </c>
      <c r="G31" s="313" t="s">
        <v>490</v>
      </c>
      <c r="H31" s="10">
        <f>+'WK Consol adj'!G61</f>
        <v>38820</v>
      </c>
      <c r="I31" s="13">
        <f>B31+C31+D31-F31+H31</f>
        <v>673668.4100000001</v>
      </c>
      <c r="J31" s="13">
        <v>1280094.5</v>
      </c>
    </row>
    <row r="32" spans="1:10" ht="12.75">
      <c r="A32" s="16" t="s">
        <v>28</v>
      </c>
      <c r="B32" s="327"/>
      <c r="C32" s="307">
        <v>2823464</v>
      </c>
      <c r="D32" s="304"/>
      <c r="E32" s="291"/>
      <c r="G32" s="289"/>
      <c r="I32" s="13">
        <f>B32+C32+D32-F32+H32</f>
        <v>2823464</v>
      </c>
      <c r="J32" s="322">
        <v>0</v>
      </c>
    </row>
    <row r="33" spans="1:10" ht="12.75">
      <c r="A33" s="16" t="s">
        <v>32</v>
      </c>
      <c r="B33" s="327">
        <f>10000</f>
        <v>10000</v>
      </c>
      <c r="C33" s="307">
        <v>56006.08</v>
      </c>
      <c r="D33" s="304"/>
      <c r="E33" s="291"/>
      <c r="G33" s="289"/>
      <c r="I33" s="13">
        <f>B33+C33+D33-F33+H33</f>
        <v>66006.08</v>
      </c>
      <c r="J33" s="13">
        <v>261761.87</v>
      </c>
    </row>
    <row r="34" spans="1:10" ht="12.75">
      <c r="A34" s="128" t="s">
        <v>249</v>
      </c>
      <c r="B34" s="328">
        <v>0</v>
      </c>
      <c r="C34" s="308">
        <v>3741183.66</v>
      </c>
      <c r="D34" s="305">
        <v>0</v>
      </c>
      <c r="E34" s="291"/>
      <c r="G34" s="289"/>
      <c r="I34" s="14">
        <f>+B34+C34+D34</f>
        <v>3741183.66</v>
      </c>
      <c r="J34" s="14">
        <v>0</v>
      </c>
    </row>
    <row r="35" spans="2:10" ht="12.75">
      <c r="B35" s="95">
        <f>SUM(B30:B33)</f>
        <v>2583921.19</v>
      </c>
      <c r="C35" s="95">
        <f>SUM(C30:C34)</f>
        <v>9626656.99</v>
      </c>
      <c r="D35" s="95">
        <f>SUM(D30:D34)</f>
        <v>19984.97</v>
      </c>
      <c r="G35" s="289"/>
      <c r="I35" s="10">
        <f>SUM(I30:I34)</f>
        <v>7875799.930000001</v>
      </c>
      <c r="J35" s="10">
        <v>2418811.27</v>
      </c>
    </row>
    <row r="36" spans="7:10" ht="12.75">
      <c r="G36" s="289"/>
      <c r="J36" s="10"/>
    </row>
    <row r="37" spans="1:10" ht="12.75">
      <c r="A37" s="9" t="s">
        <v>33</v>
      </c>
      <c r="B37" s="95">
        <f>+B27-B35</f>
        <v>9443916.98</v>
      </c>
      <c r="C37" s="95">
        <f>+C27-C35</f>
        <v>3803726.0299999993</v>
      </c>
      <c r="D37" s="95">
        <f>+D27-D35</f>
        <v>2820691.9599999995</v>
      </c>
      <c r="G37" s="289"/>
      <c r="I37" s="10">
        <f>I27-I35</f>
        <v>16068334.469999999</v>
      </c>
      <c r="J37" s="10">
        <v>4992531.79</v>
      </c>
    </row>
    <row r="38" spans="7:10" ht="12.75">
      <c r="G38" s="289"/>
      <c r="J38" s="10"/>
    </row>
    <row r="39" spans="2:10" ht="13.5" thickBot="1">
      <c r="B39" s="309">
        <f>+B13+B14+B15+B16+B17+B18+B37</f>
        <v>15367142.98</v>
      </c>
      <c r="C39" s="309">
        <f>+C13+C14+C15+C16+C17+C18+C37</f>
        <v>5381438.549999999</v>
      </c>
      <c r="D39" s="309">
        <f>+D13+D14+D15+D16+D17+D18+D37</f>
        <v>2969273.8699999996</v>
      </c>
      <c r="E39" s="291"/>
      <c r="G39" s="289"/>
      <c r="I39" s="309">
        <f>I13+I14+I15+I17+I18+I37+I16</f>
        <v>19596403.31</v>
      </c>
      <c r="J39" s="15">
        <v>7987803.278499999</v>
      </c>
    </row>
    <row r="40" spans="7:10" ht="13.5" thickTop="1">
      <c r="G40" s="289"/>
      <c r="J40" s="10"/>
    </row>
    <row r="41" spans="1:10" ht="12.75">
      <c r="A41" s="9" t="s">
        <v>34</v>
      </c>
      <c r="B41" s="89"/>
      <c r="G41" s="289"/>
      <c r="J41" s="10"/>
    </row>
    <row r="42" spans="2:10" ht="12.75">
      <c r="B42" s="89"/>
      <c r="G42" s="289"/>
      <c r="J42" s="10"/>
    </row>
    <row r="43" spans="1:10" ht="12.75">
      <c r="A43" s="9" t="s">
        <v>35</v>
      </c>
      <c r="B43" s="89">
        <v>9723226</v>
      </c>
      <c r="C43" s="95">
        <v>3223226.48</v>
      </c>
      <c r="D43" s="95">
        <v>35000</v>
      </c>
      <c r="E43" s="126" t="s">
        <v>245</v>
      </c>
      <c r="F43" s="10">
        <f>'WK Consol adj'!E6+'WK Consol adj'!E21+0.48</f>
        <v>3258226.48</v>
      </c>
      <c r="G43" s="289"/>
      <c r="H43" s="10">
        <v>0</v>
      </c>
      <c r="I43" s="10">
        <f>+B43+C43+D43-F43+H43</f>
        <v>9723226</v>
      </c>
      <c r="J43" s="10">
        <v>6723226.48</v>
      </c>
    </row>
    <row r="44" spans="1:10" ht="12.75">
      <c r="A44" s="9" t="s">
        <v>36</v>
      </c>
      <c r="B44" s="89">
        <v>5564425.62</v>
      </c>
      <c r="F44" s="10">
        <v>0</v>
      </c>
      <c r="G44" s="289"/>
      <c r="I44" s="10">
        <f>+B44+C44+D44-F44+H44</f>
        <v>5564425.62</v>
      </c>
      <c r="J44" s="10" t="s">
        <v>48</v>
      </c>
    </row>
    <row r="45" spans="1:10" ht="12.75">
      <c r="A45" s="9" t="s">
        <v>43</v>
      </c>
      <c r="B45" s="92">
        <v>79491.36</v>
      </c>
      <c r="C45" s="302">
        <v>2148211.94</v>
      </c>
      <c r="D45" s="95">
        <f>2774273.65+160000</f>
        <v>2934273.65</v>
      </c>
      <c r="E45" s="315" t="s">
        <v>492</v>
      </c>
      <c r="F45" s="10">
        <f>'WK Consol adj'!E23</f>
        <v>738349.65</v>
      </c>
      <c r="G45" s="314" t="s">
        <v>491</v>
      </c>
      <c r="H45" s="10">
        <f>'WK Consol adj'!F8</f>
        <v>20740.54</v>
      </c>
      <c r="I45" s="10">
        <f>+B45+C45+D45-F45-F46+H45</f>
        <v>4298751.659999999</v>
      </c>
      <c r="J45" s="10">
        <v>1254577.3985000001</v>
      </c>
    </row>
    <row r="46" spans="1:10" ht="12.75">
      <c r="A46" s="9"/>
      <c r="B46" s="310"/>
      <c r="C46" s="310"/>
      <c r="D46" s="310"/>
      <c r="E46" s="316" t="s">
        <v>493</v>
      </c>
      <c r="F46" s="10">
        <f>+'WK Consol adj'!G36+116493</f>
        <v>145616.18</v>
      </c>
      <c r="G46" s="289"/>
      <c r="I46" s="17"/>
      <c r="J46" s="17"/>
    </row>
    <row r="47" spans="1:10" ht="12.75">
      <c r="A47" s="9" t="s">
        <v>37</v>
      </c>
      <c r="B47" s="95">
        <f>SUM(B43:B46)</f>
        <v>15367142.98</v>
      </c>
      <c r="C47" s="95">
        <f>SUM(C43:C46)</f>
        <v>5371438.42</v>
      </c>
      <c r="D47" s="95">
        <f>SUM(D43:D45)</f>
        <v>2969273.65</v>
      </c>
      <c r="G47" s="289"/>
      <c r="I47" s="10">
        <f>SUM(I43:I45)</f>
        <v>19586403.28</v>
      </c>
      <c r="J47" s="10">
        <v>7977803.878500001</v>
      </c>
    </row>
    <row r="48" spans="7:10" ht="12.75">
      <c r="G48" s="289"/>
      <c r="J48" s="10"/>
    </row>
    <row r="49" spans="1:10" ht="12.75">
      <c r="A49" s="9" t="s">
        <v>44</v>
      </c>
      <c r="G49" s="289"/>
      <c r="J49" s="10"/>
    </row>
    <row r="50" spans="1:10" ht="12.75">
      <c r="A50" s="16" t="s">
        <v>45</v>
      </c>
      <c r="B50" s="95">
        <v>0</v>
      </c>
      <c r="C50" s="95">
        <v>10000</v>
      </c>
      <c r="D50" s="95">
        <v>0</v>
      </c>
      <c r="G50" s="289"/>
      <c r="I50" s="35">
        <f>B49+C50+D50-F50+H50</f>
        <v>10000</v>
      </c>
      <c r="J50" s="10">
        <v>10000</v>
      </c>
    </row>
    <row r="51" spans="2:10" ht="12.75">
      <c r="B51" s="302"/>
      <c r="G51" s="289"/>
      <c r="J51" s="10"/>
    </row>
    <row r="52" spans="2:10" ht="13.5" thickBot="1">
      <c r="B52" s="309">
        <f>+B47+B50</f>
        <v>15367142.98</v>
      </c>
      <c r="C52" s="309">
        <f>+C47+C50</f>
        <v>5381438.42</v>
      </c>
      <c r="D52" s="309">
        <f>+D47+D50</f>
        <v>2969273.65</v>
      </c>
      <c r="E52" s="291"/>
      <c r="F52" s="10">
        <f>SUM(F13:F51)</f>
        <v>10321986.42</v>
      </c>
      <c r="G52" s="289"/>
      <c r="H52" s="10">
        <f>SUM(H13:H51)</f>
        <v>10321985.939999998</v>
      </c>
      <c r="I52" s="15">
        <f>SUM(I47:I50)</f>
        <v>19596403.28</v>
      </c>
      <c r="J52" s="15">
        <v>7987803.878500001</v>
      </c>
    </row>
    <row r="53" spans="1:10" ht="13.5" thickTop="1">
      <c r="A53" s="110" t="s">
        <v>241</v>
      </c>
      <c r="B53" s="290">
        <f>+B39-B52</f>
        <v>0</v>
      </c>
      <c r="C53" s="95">
        <f>+C39-C52</f>
        <v>0.12999999895691872</v>
      </c>
      <c r="D53" s="95">
        <f>+D39-D52</f>
        <v>0.21999999973922968</v>
      </c>
      <c r="G53" s="127"/>
      <c r="I53" s="301">
        <f>I39-I52</f>
        <v>0.029999997466802597</v>
      </c>
      <c r="J53" s="21">
        <f>+J39-J52</f>
        <v>-0.6000000014901161</v>
      </c>
    </row>
    <row r="54" ht="12.75">
      <c r="G54" s="127"/>
    </row>
    <row r="55" spans="3:7" ht="12.75">
      <c r="C55" s="330"/>
      <c r="D55" s="330"/>
      <c r="G55" s="127"/>
    </row>
    <row r="56" spans="3:7" ht="12.75">
      <c r="C56" s="330"/>
      <c r="G56" s="127"/>
    </row>
  </sheetData>
  <sheetProtection/>
  <printOptions/>
  <pageMargins left="0.52" right="0.43" top="0.33" bottom="0.36" header="0.21" footer="0.5"/>
  <pageSetup fitToHeight="1" fitToWidth="1" horizontalDpi="600" verticalDpi="600" orientation="landscape" paperSize="9" scale="71"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49"/>
  <sheetViews>
    <sheetView zoomScaleSheetLayoutView="100" zoomScalePageLayoutView="0" workbookViewId="0" topLeftCell="A1">
      <selection activeCell="C11" sqref="C11:E11"/>
    </sheetView>
  </sheetViews>
  <sheetFormatPr defaultColWidth="9.140625" defaultRowHeight="12.75" outlineLevelCol="1"/>
  <cols>
    <col min="1" max="1" width="22.8515625" style="0" customWidth="1"/>
    <col min="2" max="2" width="2.7109375" style="0" customWidth="1"/>
    <col min="3" max="3" width="17.8515625" style="0" customWidth="1"/>
    <col min="4" max="4" width="2.7109375" style="0" customWidth="1"/>
    <col min="5" max="5" width="17.7109375" style="0" customWidth="1" outlineLevel="1"/>
    <col min="6" max="6" width="2.7109375" style="0" customWidth="1"/>
    <col min="7" max="7" width="14.8515625" style="0" bestFit="1" customWidth="1"/>
    <col min="8" max="8" width="2.7109375" style="0" customWidth="1"/>
    <col min="9" max="9" width="17.7109375" style="0" bestFit="1" customWidth="1"/>
    <col min="10" max="10" width="13.57421875" style="0" customWidth="1"/>
  </cols>
  <sheetData>
    <row r="2" spans="3:7" ht="12.75">
      <c r="C2" s="419" t="s">
        <v>554</v>
      </c>
      <c r="D2" s="419"/>
      <c r="E2" s="419"/>
      <c r="F2" s="419"/>
      <c r="G2" s="419"/>
    </row>
    <row r="3" spans="3:7" ht="12.75">
      <c r="C3" s="419" t="s">
        <v>555</v>
      </c>
      <c r="D3" s="419"/>
      <c r="E3" s="419"/>
      <c r="F3" s="419"/>
      <c r="G3" s="419"/>
    </row>
    <row r="4" spans="3:7" ht="12.75">
      <c r="C4" s="419" t="s">
        <v>62</v>
      </c>
      <c r="D4" s="419"/>
      <c r="E4" s="419"/>
      <c r="F4" s="419"/>
      <c r="G4" s="419"/>
    </row>
    <row r="5" spans="1:9" ht="13.5" thickBot="1">
      <c r="A5" s="345"/>
      <c r="B5" s="345"/>
      <c r="C5" s="345"/>
      <c r="D5" s="345"/>
      <c r="E5" s="345"/>
      <c r="F5" s="345"/>
      <c r="G5" s="345"/>
      <c r="H5" s="345"/>
      <c r="I5" s="345"/>
    </row>
    <row r="6" spans="1:9" ht="12.75">
      <c r="A6" s="420" t="s">
        <v>639</v>
      </c>
      <c r="B6" s="420"/>
      <c r="C6" s="420"/>
      <c r="D6" s="420"/>
      <c r="E6" s="420"/>
      <c r="F6" s="420"/>
      <c r="G6" s="420"/>
      <c r="H6" s="420"/>
      <c r="I6" s="420"/>
    </row>
    <row r="7" spans="1:9" ht="13.5" thickBot="1">
      <c r="A7" s="422" t="s">
        <v>635</v>
      </c>
      <c r="B7" s="422"/>
      <c r="C7" s="422"/>
      <c r="D7" s="422"/>
      <c r="E7" s="422"/>
      <c r="F7" s="422"/>
      <c r="G7" s="422"/>
      <c r="H7" s="422"/>
      <c r="I7" s="422"/>
    </row>
    <row r="8" ht="12.75">
      <c r="C8" t="s">
        <v>559</v>
      </c>
    </row>
    <row r="9" spans="1:9" ht="12.75">
      <c r="A9" s="419" t="s">
        <v>588</v>
      </c>
      <c r="B9" s="419"/>
      <c r="C9" s="419"/>
      <c r="D9" s="419"/>
      <c r="E9" s="419"/>
      <c r="F9" s="419"/>
      <c r="G9" s="419"/>
      <c r="H9" s="419"/>
      <c r="I9" s="419"/>
    </row>
    <row r="10" ht="12.75">
      <c r="A10" s="9"/>
    </row>
    <row r="11" spans="3:9" ht="12.75">
      <c r="C11" s="419" t="s">
        <v>513</v>
      </c>
      <c r="D11" s="419"/>
      <c r="E11" s="419"/>
      <c r="F11" s="67"/>
      <c r="G11" s="419" t="s">
        <v>514</v>
      </c>
      <c r="H11" s="419"/>
      <c r="I11" s="419"/>
    </row>
    <row r="12" spans="3:9" ht="12.75">
      <c r="C12" s="67"/>
      <c r="D12" s="67"/>
      <c r="E12" s="67"/>
      <c r="F12" s="67"/>
      <c r="G12" s="67"/>
      <c r="H12" s="67"/>
      <c r="I12" s="67"/>
    </row>
    <row r="13" spans="4:9" ht="12.75">
      <c r="D13" s="67"/>
      <c r="F13" s="67"/>
      <c r="G13" s="67" t="s">
        <v>515</v>
      </c>
      <c r="H13" s="67"/>
      <c r="I13" s="67" t="s">
        <v>516</v>
      </c>
    </row>
    <row r="14" spans="3:9" ht="12.75">
      <c r="C14" s="67" t="s">
        <v>515</v>
      </c>
      <c r="D14" s="67"/>
      <c r="E14" s="67" t="s">
        <v>516</v>
      </c>
      <c r="F14" s="67"/>
      <c r="G14" s="67" t="s">
        <v>538</v>
      </c>
      <c r="H14" s="67"/>
      <c r="I14" s="67" t="s">
        <v>538</v>
      </c>
    </row>
    <row r="15" spans="3:9" ht="12.75">
      <c r="C15" s="67" t="s">
        <v>525</v>
      </c>
      <c r="D15" s="67"/>
      <c r="E15" s="67" t="s">
        <v>525</v>
      </c>
      <c r="F15" s="67"/>
      <c r="G15" s="67" t="s">
        <v>539</v>
      </c>
      <c r="H15" s="67"/>
      <c r="I15" s="67" t="s">
        <v>539</v>
      </c>
    </row>
    <row r="16" spans="3:9" ht="12.75">
      <c r="C16" s="346">
        <v>40237</v>
      </c>
      <c r="D16" s="346"/>
      <c r="E16" s="347">
        <v>39872</v>
      </c>
      <c r="F16" s="346"/>
      <c r="G16" s="347">
        <f>C16</f>
        <v>40237</v>
      </c>
      <c r="H16" s="347"/>
      <c r="I16" s="347">
        <f>E16</f>
        <v>39872</v>
      </c>
    </row>
    <row r="17" spans="3:9" ht="12.75">
      <c r="C17" s="347" t="s">
        <v>48</v>
      </c>
      <c r="D17" s="346"/>
      <c r="E17" s="347"/>
      <c r="F17" s="346"/>
      <c r="G17" s="347" t="s">
        <v>48</v>
      </c>
      <c r="H17" s="347"/>
      <c r="I17" s="347"/>
    </row>
    <row r="18" spans="3:9" ht="12.75">
      <c r="C18" s="67" t="s">
        <v>4</v>
      </c>
      <c r="D18" s="67"/>
      <c r="E18" s="67" t="s">
        <v>4</v>
      </c>
      <c r="F18" s="67"/>
      <c r="G18" s="67" t="str">
        <f>C18</f>
        <v>RM</v>
      </c>
      <c r="H18" s="67"/>
      <c r="I18" s="67" t="str">
        <f>E18</f>
        <v>RM</v>
      </c>
    </row>
    <row r="20" spans="1:9" s="9" customFormat="1" ht="13.5" thickBot="1">
      <c r="A20" s="9" t="s">
        <v>151</v>
      </c>
      <c r="C20" s="356">
        <v>6275017</v>
      </c>
      <c r="D20" s="80"/>
      <c r="E20" s="411">
        <v>5304035</v>
      </c>
      <c r="F20" s="80"/>
      <c r="G20" s="356">
        <v>18481590</v>
      </c>
      <c r="H20" s="80"/>
      <c r="I20" s="408">
        <v>13697701</v>
      </c>
    </row>
    <row r="21" spans="3:9" ht="13.5" thickTop="1">
      <c r="C21" s="409"/>
      <c r="D21" s="35"/>
      <c r="E21" s="64"/>
      <c r="F21" s="35"/>
      <c r="G21" s="409"/>
      <c r="H21" s="35"/>
      <c r="I21" s="26"/>
    </row>
    <row r="22" spans="1:9" ht="12.75">
      <c r="A22" s="9" t="s">
        <v>517</v>
      </c>
      <c r="C22" s="377">
        <v>1857292</v>
      </c>
      <c r="D22" s="80"/>
      <c r="E22" s="64">
        <v>131181</v>
      </c>
      <c r="F22" s="80"/>
      <c r="G22" s="80">
        <v>5414926</v>
      </c>
      <c r="H22" s="80"/>
      <c r="I22" s="19">
        <v>1956525</v>
      </c>
    </row>
    <row r="23" spans="1:9" ht="12.75">
      <c r="A23" s="9"/>
      <c r="C23" s="377"/>
      <c r="D23" s="10"/>
      <c r="E23" s="64"/>
      <c r="F23" s="10"/>
      <c r="G23" s="80"/>
      <c r="H23" s="10"/>
      <c r="I23" s="19"/>
    </row>
    <row r="24" spans="1:9" ht="12.75">
      <c r="A24" t="s">
        <v>518</v>
      </c>
      <c r="C24" s="377">
        <v>-523026</v>
      </c>
      <c r="D24" s="10"/>
      <c r="E24" s="64">
        <v>-522255</v>
      </c>
      <c r="F24" s="10"/>
      <c r="G24" s="80">
        <f>-935215+C24</f>
        <v>-1458241</v>
      </c>
      <c r="H24" s="80"/>
      <c r="I24" s="19">
        <v>-1273407</v>
      </c>
    </row>
    <row r="25" spans="1:9" ht="12.75">
      <c r="A25" s="9"/>
      <c r="C25" s="377"/>
      <c r="D25" s="10"/>
      <c r="E25" s="64"/>
      <c r="F25" s="10"/>
      <c r="G25" s="80"/>
      <c r="H25" s="80"/>
      <c r="I25" s="19"/>
    </row>
    <row r="26" spans="1:9" ht="12.75">
      <c r="A26" t="s">
        <v>522</v>
      </c>
      <c r="C26" s="377"/>
      <c r="D26" s="10"/>
      <c r="E26" s="64"/>
      <c r="F26" s="10"/>
      <c r="G26" s="80"/>
      <c r="H26" s="80"/>
      <c r="I26" s="19"/>
    </row>
    <row r="27" spans="1:9" ht="12.75">
      <c r="A27" t="s">
        <v>521</v>
      </c>
      <c r="C27" s="377">
        <v>-883090</v>
      </c>
      <c r="D27" s="10"/>
      <c r="E27" s="64">
        <v>-530970</v>
      </c>
      <c r="F27" s="10"/>
      <c r="G27" s="381">
        <f>-1320762+C27</f>
        <v>-2203852</v>
      </c>
      <c r="H27" s="80"/>
      <c r="I27" s="19">
        <v>-1314456</v>
      </c>
    </row>
    <row r="28" spans="3:9" ht="12.75">
      <c r="C28" s="377"/>
      <c r="D28" s="10"/>
      <c r="E28" s="64"/>
      <c r="F28" s="10"/>
      <c r="G28" s="80"/>
      <c r="H28" s="80"/>
      <c r="I28" s="19"/>
    </row>
    <row r="29" spans="1:9" ht="12.75">
      <c r="A29" t="s">
        <v>297</v>
      </c>
      <c r="C29" s="377">
        <v>3386</v>
      </c>
      <c r="D29" s="10"/>
      <c r="E29" s="64">
        <v>671</v>
      </c>
      <c r="F29" s="10"/>
      <c r="G29" s="80">
        <f>7254+C29</f>
        <v>10640</v>
      </c>
      <c r="H29" s="80"/>
      <c r="I29" s="19">
        <v>32830</v>
      </c>
    </row>
    <row r="30" spans="3:9" ht="12.75">
      <c r="C30" s="410"/>
      <c r="D30" s="10"/>
      <c r="E30" s="65"/>
      <c r="F30" s="10"/>
      <c r="G30" s="410"/>
      <c r="H30" s="80"/>
      <c r="I30" s="18"/>
    </row>
    <row r="31" spans="1:9" s="9" customFormat="1" ht="12.75">
      <c r="A31" s="9" t="s">
        <v>207</v>
      </c>
      <c r="C31" s="80">
        <f>ROUNDUP(SUM(C22:C30),0)</f>
        <v>454562</v>
      </c>
      <c r="D31" s="80"/>
      <c r="E31" s="19">
        <f>SUM(E22:E30)</f>
        <v>-921373</v>
      </c>
      <c r="F31" s="80"/>
      <c r="G31" s="80">
        <f>ROUNDUP(SUM(G22:G30),0)</f>
        <v>1763473</v>
      </c>
      <c r="H31" s="80"/>
      <c r="I31" s="19">
        <f>SUM(I22:I30)</f>
        <v>-598508</v>
      </c>
    </row>
    <row r="32" spans="3:9" ht="12.75">
      <c r="C32" s="80"/>
      <c r="D32" s="10"/>
      <c r="E32" s="64"/>
      <c r="F32" s="10"/>
      <c r="G32" s="80"/>
      <c r="H32" s="80"/>
      <c r="I32" s="19"/>
    </row>
    <row r="33" spans="1:9" ht="12.75">
      <c r="A33" t="s">
        <v>103</v>
      </c>
      <c r="C33" s="377">
        <v>-47994</v>
      </c>
      <c r="D33" s="10"/>
      <c r="E33" s="64">
        <v>-127934</v>
      </c>
      <c r="F33" s="10"/>
      <c r="G33" s="80">
        <v>-197234</v>
      </c>
      <c r="H33" s="80"/>
      <c r="I33" s="19">
        <v>-243871</v>
      </c>
    </row>
    <row r="34" spans="3:9" ht="12.75">
      <c r="C34" s="410"/>
      <c r="D34" s="10"/>
      <c r="E34" s="65"/>
      <c r="F34" s="10"/>
      <c r="G34" s="410"/>
      <c r="H34" s="10"/>
      <c r="I34" s="18"/>
    </row>
    <row r="35" spans="1:9" s="9" customFormat="1" ht="13.5" thickBot="1">
      <c r="A35" s="9" t="s">
        <v>160</v>
      </c>
      <c r="C35" s="352">
        <f>SUM(C31:C33)</f>
        <v>406568</v>
      </c>
      <c r="D35" s="80"/>
      <c r="E35" s="41">
        <f>SUM(E31:E33)</f>
        <v>-1049307</v>
      </c>
      <c r="F35" s="80"/>
      <c r="G35" s="352">
        <f>SUM(G31:G33)</f>
        <v>1566239</v>
      </c>
      <c r="H35" s="80"/>
      <c r="I35" s="41">
        <f>SUM(I31:I33)</f>
        <v>-842379</v>
      </c>
    </row>
    <row r="36" spans="3:9" ht="13.5" thickTop="1">
      <c r="C36" s="392"/>
      <c r="E36" s="16"/>
      <c r="G36" s="392"/>
      <c r="I36" s="25"/>
    </row>
    <row r="37" spans="1:9" ht="12.75">
      <c r="A37" s="9" t="s">
        <v>546</v>
      </c>
      <c r="C37" s="392"/>
      <c r="E37" s="16"/>
      <c r="G37" s="392"/>
      <c r="I37" s="25"/>
    </row>
    <row r="38" spans="3:9" ht="3.75" customHeight="1">
      <c r="C38" s="392"/>
      <c r="E38" s="16"/>
      <c r="G38" s="392"/>
      <c r="I38" s="25"/>
    </row>
    <row r="39" spans="1:9" ht="12.75">
      <c r="A39" t="s">
        <v>547</v>
      </c>
      <c r="C39" s="409">
        <f>C41-C40</f>
        <v>406572</v>
      </c>
      <c r="E39" s="26">
        <f>E41-E40</f>
        <v>-1049307</v>
      </c>
      <c r="G39" s="409">
        <f>G41-G40</f>
        <v>1566238</v>
      </c>
      <c r="I39" s="26">
        <f>I41-I40</f>
        <v>-842375</v>
      </c>
    </row>
    <row r="40" spans="1:9" ht="12.75">
      <c r="A40" t="s">
        <v>542</v>
      </c>
      <c r="C40" s="409">
        <v>-4</v>
      </c>
      <c r="E40" s="64">
        <v>0</v>
      </c>
      <c r="G40" s="80">
        <v>1</v>
      </c>
      <c r="I40" s="19">
        <v>-4</v>
      </c>
    </row>
    <row r="41" spans="3:9" ht="13.5" thickBot="1">
      <c r="C41" s="352">
        <f>C35</f>
        <v>406568</v>
      </c>
      <c r="E41" s="41">
        <f>E35</f>
        <v>-1049307</v>
      </c>
      <c r="G41" s="352">
        <f>G35</f>
        <v>1566239</v>
      </c>
      <c r="I41" s="41">
        <f>I35</f>
        <v>-842379</v>
      </c>
    </row>
    <row r="42" spans="3:9" ht="13.5" thickTop="1">
      <c r="C42" s="48"/>
      <c r="E42" s="16"/>
      <c r="G42" s="48"/>
      <c r="I42" s="25"/>
    </row>
    <row r="43" spans="1:7" ht="12.75">
      <c r="A43" t="s">
        <v>162</v>
      </c>
      <c r="G43" s="9"/>
    </row>
    <row r="44" spans="1:10" ht="13.5" thickBot="1">
      <c r="A44" s="348" t="s">
        <v>519</v>
      </c>
      <c r="B44" s="348"/>
      <c r="C44" s="412">
        <f>C39/53067000*100</f>
        <v>0.7661484538413703</v>
      </c>
      <c r="D44" s="364"/>
      <c r="E44" s="407">
        <f>E39/52741962*100</f>
        <v>-1.9895107428881769</v>
      </c>
      <c r="F44" s="364"/>
      <c r="G44" s="412">
        <f>G39/53067000*100</f>
        <v>2.951434978423502</v>
      </c>
      <c r="H44" s="407"/>
      <c r="I44" s="407">
        <f>I39/52741962*100</f>
        <v>-1.5971628055854274</v>
      </c>
      <c r="J44" s="383"/>
    </row>
    <row r="45" spans="3:9" ht="13.5" thickTop="1">
      <c r="C45" s="365"/>
      <c r="D45" s="364"/>
      <c r="E45" s="364"/>
      <c r="F45" s="364"/>
      <c r="G45" s="413"/>
      <c r="H45" s="330"/>
      <c r="I45" s="330"/>
    </row>
    <row r="46" spans="1:9" ht="13.5" thickBot="1">
      <c r="A46" s="348" t="s">
        <v>520</v>
      </c>
      <c r="B46" s="348"/>
      <c r="C46" s="412">
        <f>C41/53420053*100</f>
        <v>0.7610774927535171</v>
      </c>
      <c r="D46" s="364"/>
      <c r="E46" s="407">
        <f>E41/53185015*100</f>
        <v>-1.9729373019825227</v>
      </c>
      <c r="F46" s="364"/>
      <c r="G46" s="412">
        <f>G41/53420053*100</f>
        <v>2.9319308238050605</v>
      </c>
      <c r="H46" s="330"/>
      <c r="I46" s="407">
        <f>I41/53185015*100</f>
        <v>-1.5838653049171838</v>
      </c>
    </row>
    <row r="47" spans="3:9" ht="13.5" thickTop="1">
      <c r="C47" s="364"/>
      <c r="D47" s="364"/>
      <c r="E47" s="364"/>
      <c r="F47" s="364"/>
      <c r="G47" s="364"/>
      <c r="H47" s="364"/>
      <c r="I47" s="364"/>
    </row>
    <row r="49" spans="1:9" ht="24" customHeight="1">
      <c r="A49" s="421" t="s">
        <v>616</v>
      </c>
      <c r="B49" s="421"/>
      <c r="C49" s="421"/>
      <c r="D49" s="421"/>
      <c r="E49" s="421"/>
      <c r="F49" s="421"/>
      <c r="G49" s="421"/>
      <c r="H49" s="421"/>
      <c r="I49" s="421"/>
    </row>
  </sheetData>
  <sheetProtection/>
  <mergeCells count="9">
    <mergeCell ref="A49:I49"/>
    <mergeCell ref="A7:I7"/>
    <mergeCell ref="C11:E11"/>
    <mergeCell ref="G11:I11"/>
    <mergeCell ref="A9:I9"/>
    <mergeCell ref="C2:G2"/>
    <mergeCell ref="C3:G3"/>
    <mergeCell ref="C4:G4"/>
    <mergeCell ref="A6:I6"/>
  </mergeCells>
  <printOptions/>
  <pageMargins left="0.5" right="0" top="0.75" bottom="0" header="0.5" footer="0.5"/>
  <pageSetup fitToHeight="1" fitToWidth="1" horizontalDpi="600" verticalDpi="600" orientation="portrait" paperSize="9" scale="96"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2:H75"/>
  <sheetViews>
    <sheetView zoomScalePageLayoutView="0" workbookViewId="0" topLeftCell="A1">
      <selection activeCell="D33" sqref="D33"/>
    </sheetView>
  </sheetViews>
  <sheetFormatPr defaultColWidth="9.140625" defaultRowHeight="12.75"/>
  <cols>
    <col min="1" max="1" width="4.00390625" style="9" customWidth="1"/>
    <col min="2" max="2" width="23.00390625" style="0" customWidth="1"/>
    <col min="3" max="3" width="16.7109375" style="0" customWidth="1"/>
    <col min="4" max="4" width="17.57421875" style="0" customWidth="1"/>
    <col min="5" max="5" width="2.7109375" style="0" customWidth="1"/>
    <col min="6" max="6" width="18.140625" style="0" bestFit="1" customWidth="1"/>
    <col min="7" max="7" width="13.57421875" style="0" customWidth="1"/>
    <col min="8" max="8" width="11.28125" style="0" bestFit="1" customWidth="1"/>
  </cols>
  <sheetData>
    <row r="2" spans="1:6" ht="12.75">
      <c r="A2" s="419" t="str">
        <f>'Income Statement'!C2</f>
        <v>ES CERAMICS TECHNOLOGY BHD</v>
      </c>
      <c r="B2" s="419"/>
      <c r="C2" s="419"/>
      <c r="D2" s="419"/>
      <c r="E2" s="419"/>
      <c r="F2" s="419"/>
    </row>
    <row r="3" spans="1:6" ht="12.75">
      <c r="A3" s="419" t="str">
        <f>'Income Statement'!C3</f>
        <v>Company No. 627117-P</v>
      </c>
      <c r="B3" s="419"/>
      <c r="C3" s="419"/>
      <c r="D3" s="419"/>
      <c r="E3" s="419"/>
      <c r="F3" s="419"/>
    </row>
    <row r="4" spans="1:6" ht="12.75">
      <c r="A4" s="419" t="str">
        <f>'Income Statement'!C4</f>
        <v>(Incorporated in Malaysia)</v>
      </c>
      <c r="B4" s="419"/>
      <c r="C4" s="419"/>
      <c r="D4" s="419"/>
      <c r="E4" s="419"/>
      <c r="F4" s="419"/>
    </row>
    <row r="5" spans="1:6" ht="13.5" thickBot="1">
      <c r="A5" s="349"/>
      <c r="B5" s="345"/>
      <c r="C5" s="345"/>
      <c r="D5" s="345"/>
      <c r="E5" s="345"/>
      <c r="F5" s="345"/>
    </row>
    <row r="6" spans="1:6" ht="12.75">
      <c r="A6" s="420" t="str">
        <f>'Income Statement'!A6</f>
        <v>INTERIM FINANCIAL REPORT FOR THE THIRD QUARTER</v>
      </c>
      <c r="B6" s="420"/>
      <c r="C6" s="420"/>
      <c r="D6" s="420"/>
      <c r="E6" s="420"/>
      <c r="F6" s="420"/>
    </row>
    <row r="7" spans="1:6" ht="13.5" thickBot="1">
      <c r="A7" s="422" t="str">
        <f>'Income Statement'!A7</f>
        <v>ENDED 28 FEBRUARY 2010</v>
      </c>
      <c r="B7" s="422"/>
      <c r="C7" s="422"/>
      <c r="D7" s="422"/>
      <c r="E7" s="422"/>
      <c r="F7" s="422"/>
    </row>
    <row r="9" spans="1:6" ht="12.75">
      <c r="A9" s="419" t="s">
        <v>597</v>
      </c>
      <c r="B9" s="419"/>
      <c r="C9" s="419"/>
      <c r="D9" s="419"/>
      <c r="E9" s="419"/>
      <c r="F9" s="419"/>
    </row>
    <row r="10" spans="1:6" ht="12.75">
      <c r="A10" s="67"/>
      <c r="B10" s="67"/>
      <c r="C10" s="67"/>
      <c r="D10" s="67"/>
      <c r="E10" s="67"/>
      <c r="F10" s="67"/>
    </row>
    <row r="11" spans="4:6" ht="12.75">
      <c r="D11" s="88" t="s">
        <v>540</v>
      </c>
      <c r="E11" s="88"/>
      <c r="F11" s="88" t="s">
        <v>598</v>
      </c>
    </row>
    <row r="12" spans="4:6" ht="12.75">
      <c r="D12" s="88" t="s">
        <v>525</v>
      </c>
      <c r="E12" s="88"/>
      <c r="F12" s="88" t="s">
        <v>599</v>
      </c>
    </row>
    <row r="13" spans="4:6" ht="12.75">
      <c r="D13" s="401">
        <f>'Income Statement'!C16</f>
        <v>40237</v>
      </c>
      <c r="E13" s="88"/>
      <c r="F13" s="402">
        <v>39964</v>
      </c>
    </row>
    <row r="14" spans="4:6" ht="12.75">
      <c r="D14" s="403" t="s">
        <v>596</v>
      </c>
      <c r="E14" s="403"/>
      <c r="F14" s="403" t="s">
        <v>523</v>
      </c>
    </row>
    <row r="15" spans="4:6" ht="12.75">
      <c r="D15" s="401"/>
      <c r="E15" s="401"/>
      <c r="F15" s="403"/>
    </row>
    <row r="16" spans="4:6" ht="12.75">
      <c r="D16" s="88" t="s">
        <v>4</v>
      </c>
      <c r="E16" s="88"/>
      <c r="F16" s="88" t="str">
        <f>D16</f>
        <v>RM</v>
      </c>
    </row>
    <row r="17" ht="12.75">
      <c r="A17" s="9" t="s">
        <v>602</v>
      </c>
    </row>
    <row r="19" ht="12.75">
      <c r="A19" s="9" t="s">
        <v>604</v>
      </c>
    </row>
    <row r="20" spans="1:8" s="9" customFormat="1" ht="12.75">
      <c r="A20" s="16"/>
      <c r="B20" s="16" t="s">
        <v>530</v>
      </c>
      <c r="D20" s="359">
        <f>'[4]CBS'!$W$9</f>
        <v>20966929.384240005</v>
      </c>
      <c r="E20" s="19"/>
      <c r="F20" s="19">
        <v>20228920</v>
      </c>
      <c r="H20" s="378"/>
    </row>
    <row r="21" spans="1:8" s="9" customFormat="1" ht="12.75">
      <c r="A21" s="16"/>
      <c r="B21" s="16" t="s">
        <v>607</v>
      </c>
      <c r="D21" s="359">
        <f>'[4]CBS'!$W$10</f>
        <v>2369454.41984</v>
      </c>
      <c r="E21" s="19"/>
      <c r="F21" s="19">
        <v>2269126</v>
      </c>
      <c r="H21" s="378"/>
    </row>
    <row r="22" spans="1:8" s="9" customFormat="1" ht="12.75">
      <c r="A22" s="16"/>
      <c r="B22" s="16" t="s">
        <v>605</v>
      </c>
      <c r="D22" s="359">
        <f>SUM('[4]CBS'!$W$16:$W$18)</f>
        <v>4005001.9123156737</v>
      </c>
      <c r="E22" s="26"/>
      <c r="F22" s="19">
        <v>3881826</v>
      </c>
      <c r="H22" s="378"/>
    </row>
    <row r="23" spans="1:8" s="9" customFormat="1" ht="12.75">
      <c r="A23" s="16"/>
      <c r="B23" s="16" t="s">
        <v>606</v>
      </c>
      <c r="D23" s="359">
        <f>'[4]CBS'!$W$14</f>
        <v>1500000</v>
      </c>
      <c r="E23" s="26"/>
      <c r="F23" s="19">
        <f>'[3]CBS'!$W$14</f>
        <v>1500000</v>
      </c>
      <c r="H23" s="378"/>
    </row>
    <row r="24" spans="4:8" s="9" customFormat="1" ht="12.75">
      <c r="D24" s="358">
        <f>ROUNDDOWN(SUM(D20:D23),0)</f>
        <v>28841385</v>
      </c>
      <c r="E24" s="26"/>
      <c r="F24" s="358">
        <f>SUM(F20:F23)</f>
        <v>27879872</v>
      </c>
      <c r="H24" s="378"/>
    </row>
    <row r="25" spans="4:8" s="9" customFormat="1" ht="12.75">
      <c r="D25" s="359"/>
      <c r="E25" s="26"/>
      <c r="F25" s="19"/>
      <c r="H25" s="378"/>
    </row>
    <row r="26" spans="1:8" ht="12.75">
      <c r="A26" s="9" t="s">
        <v>25</v>
      </c>
      <c r="D26" s="359"/>
      <c r="E26" s="26"/>
      <c r="F26" s="19"/>
      <c r="H26" s="378"/>
    </row>
    <row r="27" spans="2:8" ht="12.75">
      <c r="B27" t="s">
        <v>526</v>
      </c>
      <c r="C27" s="386"/>
      <c r="D27" s="360">
        <f>'[4]CBS'!$W$22</f>
        <v>6384310.33208</v>
      </c>
      <c r="E27" s="26"/>
      <c r="F27" s="354">
        <v>5859076</v>
      </c>
      <c r="H27" s="378"/>
    </row>
    <row r="28" spans="2:8" ht="12.75">
      <c r="B28" t="s">
        <v>600</v>
      </c>
      <c r="C28" s="386"/>
      <c r="D28" s="361">
        <f>ROUNDUP(SUM('[4]CBS'!$W$23:$W$24),0)</f>
        <v>8176589</v>
      </c>
      <c r="E28" s="26"/>
      <c r="F28" s="355">
        <v>7767163</v>
      </c>
      <c r="H28" s="378"/>
    </row>
    <row r="29" spans="2:8" ht="12.75">
      <c r="B29" t="s">
        <v>612</v>
      </c>
      <c r="C29" s="386"/>
      <c r="D29" s="361">
        <f>ROUNDUP('[4]CBS'!$W$29,0)</f>
        <v>888419</v>
      </c>
      <c r="E29" s="26"/>
      <c r="F29" s="355">
        <v>795827</v>
      </c>
      <c r="H29" s="378"/>
    </row>
    <row r="30" spans="2:8" ht="12.75">
      <c r="B30" t="s">
        <v>613</v>
      </c>
      <c r="C30" s="386"/>
      <c r="D30" s="361">
        <f>'[4]CBS'!$W$30</f>
        <v>2368570.4701600005</v>
      </c>
      <c r="E30" s="26"/>
      <c r="F30" s="374">
        <v>4384137</v>
      </c>
      <c r="H30" s="378"/>
    </row>
    <row r="31" spans="3:8" ht="12.75">
      <c r="C31" s="388"/>
      <c r="D31" s="358">
        <f>ROUNDDOWN(SUM(D27:D30),0)</f>
        <v>17817888</v>
      </c>
      <c r="E31" s="26"/>
      <c r="F31" s="26">
        <f>SUM(F27:F30)</f>
        <v>18806203</v>
      </c>
      <c r="G31" s="21"/>
      <c r="H31" s="378"/>
    </row>
    <row r="32" spans="4:8" s="9" customFormat="1" ht="12.75">
      <c r="D32" s="26"/>
      <c r="E32" s="26"/>
      <c r="F32" s="26"/>
      <c r="H32" s="378"/>
    </row>
    <row r="33" spans="1:8" s="9" customFormat="1" ht="13.5" thickBot="1">
      <c r="A33" s="9" t="s">
        <v>601</v>
      </c>
      <c r="D33" s="41">
        <f>D24+D31</f>
        <v>46659273</v>
      </c>
      <c r="E33" s="26"/>
      <c r="F33" s="41">
        <f>F24+F31</f>
        <v>46686075</v>
      </c>
      <c r="H33" s="378"/>
    </row>
    <row r="34" spans="4:8" s="9" customFormat="1" ht="13.5" thickTop="1">
      <c r="D34" s="387"/>
      <c r="E34" s="26"/>
      <c r="F34" s="26"/>
      <c r="H34" s="378"/>
    </row>
    <row r="35" spans="1:8" s="9" customFormat="1" ht="12.75">
      <c r="A35" s="9" t="s">
        <v>603</v>
      </c>
      <c r="D35" s="387"/>
      <c r="E35" s="26"/>
      <c r="F35" s="26"/>
      <c r="H35" s="378"/>
    </row>
    <row r="36" spans="1:8" ht="12.75">
      <c r="A36" s="9" t="s">
        <v>622</v>
      </c>
      <c r="D36" s="19"/>
      <c r="E36" s="26"/>
      <c r="F36" s="19"/>
      <c r="H36" s="378"/>
    </row>
    <row r="37" spans="2:8" ht="12.75">
      <c r="B37" t="s">
        <v>223</v>
      </c>
      <c r="C37" s="21"/>
      <c r="D37" s="389">
        <f>'[4]CBS'!$W$56</f>
        <v>5306699.6274999995</v>
      </c>
      <c r="E37" s="26"/>
      <c r="F37" s="354">
        <f>'[3]CBS'!$W$56</f>
        <v>5296700</v>
      </c>
      <c r="H37" s="378"/>
    </row>
    <row r="38" spans="2:8" ht="12.75">
      <c r="B38" t="s">
        <v>529</v>
      </c>
      <c r="C38" s="21"/>
      <c r="D38" s="390">
        <f>'[4]CBS'!$W$58</f>
        <v>3821775.3</v>
      </c>
      <c r="E38" s="26"/>
      <c r="F38" s="355">
        <f>'[3]CBS'!$W$58</f>
        <v>3815775</v>
      </c>
      <c r="H38" s="378"/>
    </row>
    <row r="39" spans="2:8" ht="12.75">
      <c r="B39" t="s">
        <v>541</v>
      </c>
      <c r="C39" s="21"/>
      <c r="D39" s="390">
        <f>'[4]CBS'!$W$60</f>
        <v>249027.2</v>
      </c>
      <c r="E39" s="26"/>
      <c r="F39" s="355">
        <v>249027</v>
      </c>
      <c r="H39" s="378"/>
    </row>
    <row r="40" spans="2:8" ht="12.75">
      <c r="B40" t="s">
        <v>543</v>
      </c>
      <c r="C40" s="21"/>
      <c r="D40" s="390">
        <f>'[4]CBS'!$W$61-0.5</f>
        <v>1411018.2246089566</v>
      </c>
      <c r="E40" s="26"/>
      <c r="F40" s="355">
        <v>63063</v>
      </c>
      <c r="H40" s="378"/>
    </row>
    <row r="41" spans="2:8" ht="12.75">
      <c r="B41" t="s">
        <v>534</v>
      </c>
      <c r="C41" s="21"/>
      <c r="D41" s="391">
        <f>'[4]CBS'!$W$62</f>
        <v>6754507.953306716</v>
      </c>
      <c r="E41" s="26"/>
      <c r="F41" s="374">
        <v>5061027</v>
      </c>
      <c r="H41" s="378"/>
    </row>
    <row r="42" spans="1:8" ht="12.75">
      <c r="A42" s="9" t="s">
        <v>535</v>
      </c>
      <c r="C42" s="21"/>
      <c r="D42" s="358">
        <f>SUM(D37:D41)</f>
        <v>17543028.305415668</v>
      </c>
      <c r="E42" s="26"/>
      <c r="F42" s="358">
        <f>SUM(F37:F41)</f>
        <v>14485592</v>
      </c>
      <c r="H42" s="378"/>
    </row>
    <row r="43" spans="1:8" ht="12.75">
      <c r="A43" s="9" t="s">
        <v>544</v>
      </c>
      <c r="C43" s="21"/>
      <c r="D43" s="26">
        <f>'[4]CBS'!$W$65</f>
        <v>245.58</v>
      </c>
      <c r="E43" s="26"/>
      <c r="F43" s="26">
        <v>217</v>
      </c>
      <c r="H43" s="378"/>
    </row>
    <row r="44" spans="1:8" ht="13.5" thickBot="1">
      <c r="A44" s="9" t="s">
        <v>608</v>
      </c>
      <c r="C44" s="21"/>
      <c r="D44" s="41">
        <f>SUM(D42:D43)</f>
        <v>17543273.885415666</v>
      </c>
      <c r="E44" s="26"/>
      <c r="F44" s="41">
        <f>SUM(F42:F43)</f>
        <v>14485809</v>
      </c>
      <c r="H44" s="378"/>
    </row>
    <row r="45" spans="1:8" ht="13.5" thickTop="1">
      <c r="A45" s="350"/>
      <c r="B45" s="348"/>
      <c r="C45" s="348"/>
      <c r="D45" s="48"/>
      <c r="E45" s="48"/>
      <c r="F45" s="48"/>
      <c r="H45" s="378"/>
    </row>
    <row r="46" spans="1:8" s="9" customFormat="1" ht="12.75">
      <c r="A46" s="9" t="s">
        <v>609</v>
      </c>
      <c r="D46" s="387"/>
      <c r="E46" s="26"/>
      <c r="F46" s="26"/>
      <c r="H46" s="378"/>
    </row>
    <row r="47" spans="1:8" ht="12.75">
      <c r="A47" s="9" t="s">
        <v>536</v>
      </c>
      <c r="B47" s="348"/>
      <c r="C47" s="348"/>
      <c r="D47" s="48"/>
      <c r="E47" s="48"/>
      <c r="F47" s="48"/>
      <c r="H47" s="378"/>
    </row>
    <row r="48" spans="1:8" ht="12.75">
      <c r="A48" s="350"/>
      <c r="B48" t="s">
        <v>532</v>
      </c>
      <c r="C48" s="21"/>
      <c r="D48" s="375">
        <f>'[4]CBS'!$W$70</f>
        <v>375561.91312</v>
      </c>
      <c r="E48" s="48"/>
      <c r="F48" s="12">
        <v>225299</v>
      </c>
      <c r="H48" s="378"/>
    </row>
    <row r="49" spans="1:8" ht="12.75">
      <c r="A49" s="350"/>
      <c r="B49" t="s">
        <v>537</v>
      </c>
      <c r="C49" s="21"/>
      <c r="D49" s="362">
        <f>SUM('[4]CBS'!$W$71:$W$72)</f>
        <v>18616577.75</v>
      </c>
      <c r="E49" s="35"/>
      <c r="F49" s="13">
        <v>4376615</v>
      </c>
      <c r="H49" s="378"/>
    </row>
    <row r="50" spans="1:8" ht="12.75">
      <c r="A50" s="350"/>
      <c r="B50" t="s">
        <v>527</v>
      </c>
      <c r="C50" s="21"/>
      <c r="D50" s="376">
        <f>'[4]CBS'!$W$69</f>
        <v>628570</v>
      </c>
      <c r="E50" s="48"/>
      <c r="F50" s="13">
        <v>628570</v>
      </c>
      <c r="H50" s="378"/>
    </row>
    <row r="51" spans="1:8" ht="12.75">
      <c r="A51" s="350"/>
      <c r="B51" s="348"/>
      <c r="C51" s="385"/>
      <c r="D51" s="358">
        <f>SUM(D48:D50)</f>
        <v>19620709.66312</v>
      </c>
      <c r="E51" s="26"/>
      <c r="F51" s="358">
        <f>SUM(F48:F50)</f>
        <v>5230484</v>
      </c>
      <c r="H51" s="378"/>
    </row>
    <row r="52" spans="1:6" ht="12.75">
      <c r="A52" s="350"/>
      <c r="B52" s="348"/>
      <c r="C52" s="348"/>
      <c r="D52" s="26"/>
      <c r="E52" s="48"/>
      <c r="F52" s="26"/>
    </row>
    <row r="53" spans="1:8" ht="12.75">
      <c r="A53" s="9" t="s">
        <v>531</v>
      </c>
      <c r="D53" s="388"/>
      <c r="E53" s="26"/>
      <c r="F53" s="26"/>
      <c r="H53" s="378"/>
    </row>
    <row r="54" spans="2:8" ht="12.75">
      <c r="B54" t="s">
        <v>615</v>
      </c>
      <c r="D54" s="375">
        <f>SUM('[4]CBS'!$W$36:$W$37)</f>
        <v>1856414.2444</v>
      </c>
      <c r="E54" s="26"/>
      <c r="F54" s="354">
        <v>3254946</v>
      </c>
      <c r="H54" s="378"/>
    </row>
    <row r="55" spans="2:8" ht="12.75">
      <c r="B55" t="s">
        <v>532</v>
      </c>
      <c r="D55" s="362">
        <f>'[4]CBS'!$W$42</f>
        <v>114432</v>
      </c>
      <c r="E55" s="26"/>
      <c r="F55" s="355">
        <v>88997</v>
      </c>
      <c r="H55" s="378"/>
    </row>
    <row r="56" spans="2:8" ht="12.75">
      <c r="B56" t="s">
        <v>537</v>
      </c>
      <c r="D56" s="362">
        <f>'[4]CBS'!$W$43</f>
        <v>4895259</v>
      </c>
      <c r="E56" s="26"/>
      <c r="F56" s="355">
        <f>5129197+15396477</f>
        <v>20525674</v>
      </c>
      <c r="H56" s="378"/>
    </row>
    <row r="57" spans="2:8" ht="12.75">
      <c r="B57" t="s">
        <v>533</v>
      </c>
      <c r="D57" s="362">
        <f>SUM('[4]CBS'!$W$44:$W$45)</f>
        <v>2608131.85</v>
      </c>
      <c r="E57" s="26"/>
      <c r="F57" s="355">
        <f>387085+2511000</f>
        <v>2898085</v>
      </c>
      <c r="H57" s="378"/>
    </row>
    <row r="58" spans="2:8" ht="12.75">
      <c r="B58" t="s">
        <v>614</v>
      </c>
      <c r="D58" s="376">
        <f>'[4]CBS'!$W$46</f>
        <v>21051.749600000003</v>
      </c>
      <c r="E58" s="26"/>
      <c r="F58" s="374">
        <v>202080</v>
      </c>
      <c r="H58" s="378"/>
    </row>
    <row r="59" spans="4:8" ht="12.75">
      <c r="D59" s="358">
        <f>SUM(D54:D58)</f>
        <v>9495288.844</v>
      </c>
      <c r="E59" s="26"/>
      <c r="F59" s="358">
        <f>SUM(F54:F58)</f>
        <v>26969782</v>
      </c>
      <c r="G59" s="21"/>
      <c r="H59" s="378"/>
    </row>
    <row r="60" spans="4:8" ht="12.75">
      <c r="D60" s="26"/>
      <c r="E60" s="26"/>
      <c r="F60" s="26"/>
      <c r="G60" s="21"/>
      <c r="H60" s="378"/>
    </row>
    <row r="61" spans="1:8" ht="12.75">
      <c r="A61" s="9" t="s">
        <v>610</v>
      </c>
      <c r="D61" s="267">
        <f>D59+D51</f>
        <v>29115998.507120002</v>
      </c>
      <c r="E61" s="26"/>
      <c r="F61" s="267">
        <f>F59+F51</f>
        <v>32200266</v>
      </c>
      <c r="H61" s="378"/>
    </row>
    <row r="62" spans="5:8" s="9" customFormat="1" ht="12.75">
      <c r="E62" s="392"/>
      <c r="H62" s="378"/>
    </row>
    <row r="63" spans="1:8" ht="13.5" thickBot="1">
      <c r="A63" s="9" t="s">
        <v>611</v>
      </c>
      <c r="D63" s="41">
        <f>D61+D44</f>
        <v>46659272.39253567</v>
      </c>
      <c r="E63" s="26"/>
      <c r="F63" s="41">
        <f>F61+F44</f>
        <v>46686075</v>
      </c>
      <c r="H63" s="378"/>
    </row>
    <row r="64" spans="4:8" ht="13.5" thickTop="1">
      <c r="D64" s="19"/>
      <c r="E64" s="26"/>
      <c r="F64" s="19"/>
      <c r="H64" s="378"/>
    </row>
    <row r="65" spans="4:8" s="9" customFormat="1" ht="12.75">
      <c r="D65" s="19"/>
      <c r="E65" s="26"/>
      <c r="F65" s="19"/>
      <c r="H65" s="378"/>
    </row>
    <row r="66" spans="1:6" ht="12.75">
      <c r="A66" s="9" t="s">
        <v>552</v>
      </c>
      <c r="B66" s="348"/>
      <c r="C66" s="348"/>
      <c r="D66" s="48"/>
      <c r="E66" s="48"/>
      <c r="F66" s="48"/>
    </row>
    <row r="67" spans="1:6" ht="13.5" thickBot="1">
      <c r="A67" s="9" t="s">
        <v>553</v>
      </c>
      <c r="B67" s="348"/>
      <c r="C67" s="348"/>
      <c r="D67" s="353">
        <f>D44/D37*10</f>
        <v>33.058727866382654</v>
      </c>
      <c r="E67" s="48"/>
      <c r="F67" s="351">
        <f>F42/F37*10</f>
        <v>27.348333868257594</v>
      </c>
    </row>
    <row r="68" ht="13.5" thickTop="1">
      <c r="E68" s="48"/>
    </row>
    <row r="69" spans="1:5" ht="12.75">
      <c r="A69"/>
      <c r="D69" s="21"/>
      <c r="E69" s="48"/>
    </row>
    <row r="70" spans="1:6" ht="12.75">
      <c r="A70"/>
      <c r="D70" s="21"/>
      <c r="E70" s="233"/>
      <c r="F70" s="21">
        <f>F63-F33</f>
        <v>0</v>
      </c>
    </row>
    <row r="71" spans="1:8" ht="24.75" customHeight="1">
      <c r="A71" s="423" t="s">
        <v>617</v>
      </c>
      <c r="B71" s="423"/>
      <c r="C71" s="423"/>
      <c r="D71" s="423"/>
      <c r="E71" s="423"/>
      <c r="F71" s="423"/>
      <c r="G71" s="400"/>
      <c r="H71" s="400"/>
    </row>
    <row r="72" spans="1:5" ht="12.75">
      <c r="A72"/>
      <c r="E72" s="48"/>
    </row>
    <row r="73" spans="1:5" ht="12.75">
      <c r="A73"/>
      <c r="E73" s="48"/>
    </row>
    <row r="74" spans="1:5" ht="12.75">
      <c r="A74"/>
      <c r="E74" s="48"/>
    </row>
    <row r="75" ht="12.75">
      <c r="A75"/>
    </row>
  </sheetData>
  <sheetProtection/>
  <mergeCells count="7">
    <mergeCell ref="A71:F71"/>
    <mergeCell ref="A9:F9"/>
    <mergeCell ref="A7:F7"/>
    <mergeCell ref="A2:F2"/>
    <mergeCell ref="A3:F3"/>
    <mergeCell ref="A4:F4"/>
    <mergeCell ref="A6:F6"/>
  </mergeCells>
  <printOptions horizontalCentered="1"/>
  <pageMargins left="0" right="0" top="0.25" bottom="0" header="0.5" footer="0.5"/>
  <pageSetup fitToHeight="1" fitToWidth="1" horizontalDpi="600" verticalDpi="600" orientation="portrait" paperSize="9" scale="90" r:id="rId1"/>
  <colBreaks count="1" manualBreakCount="1">
    <brk id="6"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2:O63"/>
  <sheetViews>
    <sheetView tabSelected="1" zoomScalePageLayoutView="0" workbookViewId="0" topLeftCell="B4">
      <selection activeCell="P55" sqref="P55"/>
    </sheetView>
  </sheetViews>
  <sheetFormatPr defaultColWidth="9.140625" defaultRowHeight="12.75"/>
  <cols>
    <col min="1" max="1" width="26.7109375" style="0" customWidth="1"/>
    <col min="2" max="2" width="2.7109375" style="0" customWidth="1"/>
    <col min="3" max="3" width="16.00390625" style="0" customWidth="1"/>
    <col min="4" max="4" width="2.7109375" style="0" customWidth="1"/>
    <col min="5" max="5" width="16.00390625" style="0" customWidth="1"/>
    <col min="6" max="6" width="2.7109375" style="0" customWidth="1"/>
    <col min="7" max="7" width="15.421875" style="0" bestFit="1" customWidth="1"/>
    <col min="8" max="8" width="2.7109375" style="0" customWidth="1"/>
    <col min="9" max="9" width="14.28125" style="10" bestFit="1" customWidth="1"/>
    <col min="10" max="10" width="3.00390625" style="0" customWidth="1"/>
    <col min="11" max="11" width="17.140625" style="0" customWidth="1"/>
    <col min="12" max="12" width="3.00390625" style="0" customWidth="1"/>
    <col min="13" max="13" width="12.00390625" style="10" customWidth="1"/>
    <col min="14" max="14" width="3.00390625" style="10" customWidth="1"/>
    <col min="15" max="15" width="14.7109375" style="0" customWidth="1"/>
    <col min="16" max="16" width="13.57421875" style="0" customWidth="1"/>
  </cols>
  <sheetData>
    <row r="2" spans="3:12" ht="12.75">
      <c r="C2" s="419" t="str">
        <f>'Income Statement'!C2:G2</f>
        <v>ES CERAMICS TECHNOLOGY BHD</v>
      </c>
      <c r="D2" s="419"/>
      <c r="E2" s="419"/>
      <c r="F2" s="419"/>
      <c r="G2" s="419"/>
      <c r="H2" s="419"/>
      <c r="I2" s="419"/>
      <c r="J2" s="419"/>
      <c r="K2" s="419"/>
      <c r="L2" s="67"/>
    </row>
    <row r="3" spans="3:12" ht="12.75">
      <c r="C3" s="419" t="str">
        <f>'Income Statement'!C3:G3</f>
        <v>Company No. 627117-P</v>
      </c>
      <c r="D3" s="419"/>
      <c r="E3" s="419"/>
      <c r="F3" s="419"/>
      <c r="G3" s="419"/>
      <c r="H3" s="419"/>
      <c r="I3" s="419"/>
      <c r="J3" s="419"/>
      <c r="K3" s="419"/>
      <c r="L3" s="67"/>
    </row>
    <row r="4" spans="3:12" ht="12.75">
      <c r="C4" s="419" t="s">
        <v>62</v>
      </c>
      <c r="D4" s="419"/>
      <c r="E4" s="419"/>
      <c r="F4" s="419"/>
      <c r="G4" s="419"/>
      <c r="H4" s="419"/>
      <c r="I4" s="419"/>
      <c r="J4" s="419"/>
      <c r="K4" s="419"/>
      <c r="L4" s="67"/>
    </row>
    <row r="5" spans="1:15" ht="13.5" thickBot="1">
      <c r="A5" s="345"/>
      <c r="B5" s="345"/>
      <c r="C5" s="345"/>
      <c r="D5" s="345"/>
      <c r="E5" s="345"/>
      <c r="F5" s="345"/>
      <c r="G5" s="345"/>
      <c r="H5" s="345"/>
      <c r="I5" s="357"/>
      <c r="J5" s="345"/>
      <c r="K5" s="345"/>
      <c r="L5" s="345"/>
      <c r="M5" s="357"/>
      <c r="N5" s="357"/>
      <c r="O5" s="345"/>
    </row>
    <row r="6" spans="1:15" ht="12.75">
      <c r="A6" s="420" t="str">
        <f>'Income Statement'!A6</f>
        <v>INTERIM FINANCIAL REPORT FOR THE THIRD QUARTER</v>
      </c>
      <c r="B6" s="420"/>
      <c r="C6" s="420"/>
      <c r="D6" s="420"/>
      <c r="E6" s="420"/>
      <c r="F6" s="420"/>
      <c r="G6" s="420"/>
      <c r="H6" s="420"/>
      <c r="I6" s="420"/>
      <c r="J6" s="420"/>
      <c r="K6" s="420"/>
      <c r="L6" s="420"/>
      <c r="M6" s="420"/>
      <c r="N6" s="420"/>
      <c r="O6" s="420"/>
    </row>
    <row r="7" spans="1:15" ht="13.5" thickBot="1">
      <c r="A7" s="422" t="str">
        <f>'Income Statement'!A7</f>
        <v>ENDED 28 FEBRUARY 2010</v>
      </c>
      <c r="B7" s="422"/>
      <c r="C7" s="422"/>
      <c r="D7" s="422"/>
      <c r="E7" s="422"/>
      <c r="F7" s="422"/>
      <c r="G7" s="422"/>
      <c r="H7" s="422"/>
      <c r="I7" s="422"/>
      <c r="J7" s="422"/>
      <c r="K7" s="422"/>
      <c r="L7" s="422"/>
      <c r="M7" s="422"/>
      <c r="N7" s="422"/>
      <c r="O7" s="422"/>
    </row>
    <row r="9" spans="1:15" ht="12.75">
      <c r="A9" s="419" t="s">
        <v>587</v>
      </c>
      <c r="B9" s="419"/>
      <c r="C9" s="419"/>
      <c r="D9" s="419"/>
      <c r="E9" s="419"/>
      <c r="F9" s="419"/>
      <c r="G9" s="419"/>
      <c r="H9" s="419"/>
      <c r="I9" s="419"/>
      <c r="J9" s="419"/>
      <c r="K9" s="419"/>
      <c r="L9" s="419"/>
      <c r="M9" s="419"/>
      <c r="N9" s="419"/>
      <c r="O9" s="419"/>
    </row>
    <row r="10" spans="1:2" ht="12.75">
      <c r="A10" s="9"/>
      <c r="B10" s="9"/>
    </row>
    <row r="12" spans="3:15" ht="12.75">
      <c r="C12" s="67"/>
      <c r="D12" s="67"/>
      <c r="E12" s="67" t="s">
        <v>528</v>
      </c>
      <c r="F12" s="67"/>
      <c r="G12" s="67" t="s">
        <v>528</v>
      </c>
      <c r="H12" s="67"/>
      <c r="I12" s="39" t="s">
        <v>528</v>
      </c>
      <c r="J12" s="67"/>
      <c r="K12" s="67"/>
      <c r="L12" s="67"/>
      <c r="M12" s="39"/>
      <c r="N12" s="39"/>
      <c r="O12" s="9"/>
    </row>
    <row r="13" spans="3:15" ht="12.75">
      <c r="C13" s="67"/>
      <c r="D13" s="67"/>
      <c r="E13" s="67" t="s">
        <v>524</v>
      </c>
      <c r="F13" s="67"/>
      <c r="G13" s="67" t="s">
        <v>524</v>
      </c>
      <c r="H13" s="67"/>
      <c r="I13" s="39" t="s">
        <v>524</v>
      </c>
      <c r="J13" s="67"/>
      <c r="K13" s="67" t="s">
        <v>524</v>
      </c>
      <c r="L13" s="67"/>
      <c r="M13" s="39" t="s">
        <v>548</v>
      </c>
      <c r="N13" s="39"/>
      <c r="O13" s="67"/>
    </row>
    <row r="14" spans="3:15" ht="12.75">
      <c r="C14" s="347" t="s">
        <v>223</v>
      </c>
      <c r="D14" s="346"/>
      <c r="E14" s="347" t="s">
        <v>529</v>
      </c>
      <c r="F14" s="347"/>
      <c r="G14" s="347" t="s">
        <v>541</v>
      </c>
      <c r="H14" s="347"/>
      <c r="I14" s="39" t="s">
        <v>543</v>
      </c>
      <c r="J14" s="347"/>
      <c r="K14" s="347" t="s">
        <v>43</v>
      </c>
      <c r="L14" s="347"/>
      <c r="M14" s="39" t="s">
        <v>549</v>
      </c>
      <c r="N14" s="39"/>
      <c r="O14" s="347" t="s">
        <v>66</v>
      </c>
    </row>
    <row r="15" spans="3:15" ht="12.75">
      <c r="C15" s="67" t="s">
        <v>4</v>
      </c>
      <c r="D15" s="67"/>
      <c r="E15" s="67" t="s">
        <v>4</v>
      </c>
      <c r="F15" s="67"/>
      <c r="G15" s="67" t="s">
        <v>4</v>
      </c>
      <c r="H15" s="67"/>
      <c r="I15" s="39" t="s">
        <v>4</v>
      </c>
      <c r="J15" s="67"/>
      <c r="K15" s="67" t="str">
        <f>C15</f>
        <v>RM</v>
      </c>
      <c r="L15" s="67"/>
      <c r="M15" s="39" t="str">
        <f>E15</f>
        <v>RM</v>
      </c>
      <c r="N15" s="39"/>
      <c r="O15" s="67" t="str">
        <f>C15</f>
        <v>RM</v>
      </c>
    </row>
    <row r="16" ht="12.75">
      <c r="A16" s="9" t="s">
        <v>636</v>
      </c>
    </row>
    <row r="18" spans="1:15" s="9" customFormat="1" ht="12.75">
      <c r="A18" s="16" t="s">
        <v>623</v>
      </c>
      <c r="C18" s="64">
        <v>5296700</v>
      </c>
      <c r="D18" s="64"/>
      <c r="E18" s="64">
        <v>3815775</v>
      </c>
      <c r="F18" s="64"/>
      <c r="G18" s="64">
        <v>189597</v>
      </c>
      <c r="H18" s="64"/>
      <c r="I18" s="64">
        <v>2713</v>
      </c>
      <c r="J18" s="64"/>
      <c r="K18" s="64">
        <v>7202631</v>
      </c>
      <c r="L18" s="64"/>
      <c r="M18" s="64">
        <v>246</v>
      </c>
      <c r="N18" s="64"/>
      <c r="O18" s="64">
        <v>16507662</v>
      </c>
    </row>
    <row r="19" spans="1:15" s="9" customFormat="1" ht="12.75">
      <c r="A19" s="16"/>
      <c r="C19" s="19"/>
      <c r="D19" s="19"/>
      <c r="E19" s="19"/>
      <c r="F19" s="19"/>
      <c r="G19" s="19"/>
      <c r="H19" s="19"/>
      <c r="I19" s="19"/>
      <c r="J19" s="19"/>
      <c r="K19" s="19"/>
      <c r="L19" s="19"/>
      <c r="M19" s="19"/>
      <c r="N19" s="19"/>
      <c r="O19" s="19"/>
    </row>
    <row r="20" spans="1:15" s="9" customFormat="1" ht="12.75">
      <c r="A20" s="16" t="s">
        <v>550</v>
      </c>
      <c r="C20" s="19">
        <v>0</v>
      </c>
      <c r="D20" s="19"/>
      <c r="E20" s="19">
        <v>0</v>
      </c>
      <c r="F20" s="19"/>
      <c r="G20" s="19">
        <v>0</v>
      </c>
      <c r="H20" s="19"/>
      <c r="I20" s="19">
        <v>0</v>
      </c>
      <c r="J20" s="19"/>
      <c r="K20" s="19">
        <v>0</v>
      </c>
      <c r="L20" s="19"/>
      <c r="M20" s="19">
        <v>0</v>
      </c>
      <c r="N20" s="19"/>
      <c r="O20" s="19">
        <f>SUM(C20:N20)</f>
        <v>0</v>
      </c>
    </row>
    <row r="21" spans="1:15" s="9" customFormat="1" ht="12.75">
      <c r="A21" s="16" t="s">
        <v>551</v>
      </c>
      <c r="C21" s="19"/>
      <c r="D21" s="19"/>
      <c r="E21" s="19"/>
      <c r="F21" s="19"/>
      <c r="G21" s="19"/>
      <c r="H21" s="19"/>
      <c r="I21" s="19"/>
      <c r="J21" s="19"/>
      <c r="K21" s="19"/>
      <c r="L21" s="19"/>
      <c r="M21" s="19"/>
      <c r="N21" s="19"/>
      <c r="O21" s="19"/>
    </row>
    <row r="22" spans="1:15" s="9" customFormat="1" ht="12.75">
      <c r="A22" s="16"/>
      <c r="C22" s="19"/>
      <c r="D22" s="19"/>
      <c r="E22" s="19"/>
      <c r="F22" s="19"/>
      <c r="G22" s="19"/>
      <c r="H22" s="19"/>
      <c r="I22" s="19"/>
      <c r="J22" s="19"/>
      <c r="K22" s="19"/>
      <c r="L22" s="19"/>
      <c r="M22" s="19"/>
      <c r="N22" s="19"/>
      <c r="O22" s="19"/>
    </row>
    <row r="23" spans="1:15" s="9" customFormat="1" ht="12.75">
      <c r="A23" s="16" t="s">
        <v>594</v>
      </c>
      <c r="C23" s="19">
        <v>0</v>
      </c>
      <c r="D23" s="19"/>
      <c r="E23" s="19">
        <v>0</v>
      </c>
      <c r="F23" s="19"/>
      <c r="G23" s="19">
        <v>0</v>
      </c>
      <c r="H23" s="19"/>
      <c r="I23" s="19">
        <v>0</v>
      </c>
      <c r="J23" s="19"/>
      <c r="K23" s="19">
        <v>0</v>
      </c>
      <c r="L23" s="19"/>
      <c r="M23" s="19">
        <v>0</v>
      </c>
      <c r="N23" s="19"/>
      <c r="O23" s="19">
        <f>SUM(C23:N23)</f>
        <v>0</v>
      </c>
    </row>
    <row r="24" spans="1:15" s="9" customFormat="1" ht="12.75">
      <c r="A24" s="16"/>
      <c r="C24" s="19"/>
      <c r="D24" s="19"/>
      <c r="E24" s="19"/>
      <c r="F24" s="19"/>
      <c r="G24" s="19"/>
      <c r="H24" s="19"/>
      <c r="I24" s="19"/>
      <c r="J24" s="19"/>
      <c r="K24" s="19"/>
      <c r="L24" s="19"/>
      <c r="M24" s="19"/>
      <c r="N24" s="19"/>
      <c r="O24" s="19"/>
    </row>
    <row r="25" spans="1:15" s="9" customFormat="1" ht="12.75">
      <c r="A25" s="16" t="s">
        <v>545</v>
      </c>
      <c r="C25" s="19">
        <v>0</v>
      </c>
      <c r="D25" s="19"/>
      <c r="E25" s="19">
        <v>0</v>
      </c>
      <c r="F25" s="19"/>
      <c r="G25" s="19">
        <v>0</v>
      </c>
      <c r="H25" s="19"/>
      <c r="I25" s="19">
        <v>0</v>
      </c>
      <c r="J25" s="19"/>
      <c r="K25" s="19">
        <v>0</v>
      </c>
      <c r="L25" s="19"/>
      <c r="M25" s="19">
        <v>0</v>
      </c>
      <c r="N25" s="19"/>
      <c r="O25" s="19">
        <f>SUM(C25:N25)</f>
        <v>0</v>
      </c>
    </row>
    <row r="26" spans="1:15" s="9" customFormat="1" ht="12.75">
      <c r="A26" s="16"/>
      <c r="C26" s="19"/>
      <c r="D26" s="19"/>
      <c r="E26" s="19"/>
      <c r="F26" s="19"/>
      <c r="G26" s="19"/>
      <c r="H26" s="19"/>
      <c r="I26" s="19"/>
      <c r="J26" s="19"/>
      <c r="K26" s="19"/>
      <c r="L26" s="19"/>
      <c r="M26" s="19"/>
      <c r="N26" s="19"/>
      <c r="O26" s="19"/>
    </row>
    <row r="27" spans="1:15" s="9" customFormat="1" ht="12.75">
      <c r="A27" s="16" t="s">
        <v>631</v>
      </c>
      <c r="C27" s="19">
        <v>0</v>
      </c>
      <c r="D27" s="19"/>
      <c r="E27" s="64">
        <v>0</v>
      </c>
      <c r="F27" s="19"/>
      <c r="G27" s="19">
        <v>0</v>
      </c>
      <c r="H27" s="19"/>
      <c r="I27" s="19">
        <v>0</v>
      </c>
      <c r="J27" s="19"/>
      <c r="K27" s="19">
        <v>0</v>
      </c>
      <c r="L27" s="19"/>
      <c r="M27" s="19">
        <v>0</v>
      </c>
      <c r="N27" s="19"/>
      <c r="O27" s="19">
        <f>SUM(C27:N27)</f>
        <v>0</v>
      </c>
    </row>
    <row r="28" spans="1:15" s="9" customFormat="1" ht="12.75">
      <c r="A28" s="16" t="s">
        <v>630</v>
      </c>
      <c r="C28" s="19"/>
      <c r="D28" s="19"/>
      <c r="E28" s="64"/>
      <c r="F28" s="19"/>
      <c r="G28" s="19"/>
      <c r="H28" s="19"/>
      <c r="I28" s="19"/>
      <c r="J28" s="19"/>
      <c r="K28" s="19"/>
      <c r="L28" s="19"/>
      <c r="M28" s="19"/>
      <c r="N28" s="19"/>
      <c r="O28" s="19"/>
    </row>
    <row r="29" spans="1:15" s="9" customFormat="1" ht="12.75">
      <c r="A29" s="16"/>
      <c r="C29" s="19"/>
      <c r="D29" s="19"/>
      <c r="E29" s="19"/>
      <c r="F29" s="19"/>
      <c r="G29" s="19"/>
      <c r="H29" s="19"/>
      <c r="I29" s="19"/>
      <c r="J29" s="19"/>
      <c r="K29" s="19"/>
      <c r="L29" s="19"/>
      <c r="M29" s="19"/>
      <c r="N29" s="19"/>
      <c r="O29" s="19"/>
    </row>
    <row r="30" spans="1:15" s="9" customFormat="1" ht="12.75">
      <c r="A30" s="16" t="s">
        <v>556</v>
      </c>
      <c r="C30" s="19"/>
      <c r="D30" s="19"/>
      <c r="E30" s="19"/>
      <c r="F30" s="19"/>
      <c r="G30" s="19"/>
      <c r="H30" s="19"/>
      <c r="I30" s="19"/>
      <c r="J30" s="19"/>
      <c r="K30" s="19"/>
      <c r="L30" s="19"/>
      <c r="M30" s="19"/>
      <c r="N30" s="19"/>
      <c r="O30" s="19"/>
    </row>
    <row r="31" spans="1:15" s="9" customFormat="1" ht="12.75">
      <c r="A31" s="16" t="s">
        <v>557</v>
      </c>
      <c r="C31" s="19"/>
      <c r="D31" s="19"/>
      <c r="E31" s="19"/>
      <c r="F31" s="19"/>
      <c r="G31" s="19"/>
      <c r="H31" s="19"/>
      <c r="I31" s="19"/>
      <c r="J31" s="19"/>
      <c r="K31" s="19"/>
      <c r="L31" s="19"/>
      <c r="M31" s="19"/>
      <c r="N31" s="19"/>
      <c r="O31" s="19"/>
    </row>
    <row r="32" spans="1:15" s="9" customFormat="1" ht="12.75">
      <c r="A32" s="16" t="s">
        <v>558</v>
      </c>
      <c r="C32" s="19">
        <v>0</v>
      </c>
      <c r="D32" s="19"/>
      <c r="E32" s="19">
        <v>0</v>
      </c>
      <c r="F32" s="19"/>
      <c r="G32" s="19">
        <v>0</v>
      </c>
      <c r="H32" s="19"/>
      <c r="I32" s="19">
        <v>-291592</v>
      </c>
      <c r="J32" s="19"/>
      <c r="K32" s="19">
        <v>-933425</v>
      </c>
      <c r="L32" s="19"/>
      <c r="M32" s="19">
        <v>-45</v>
      </c>
      <c r="N32" s="19"/>
      <c r="O32" s="19">
        <f>SUM(C32:N32)</f>
        <v>-1225062</v>
      </c>
    </row>
    <row r="33" spans="1:15" ht="12.75">
      <c r="A33" s="16"/>
      <c r="C33" s="19"/>
      <c r="D33" s="19"/>
      <c r="E33" s="19"/>
      <c r="F33" s="19"/>
      <c r="G33" s="19"/>
      <c r="H33" s="19"/>
      <c r="I33" s="19"/>
      <c r="J33" s="19"/>
      <c r="K33" s="19"/>
      <c r="L33" s="19"/>
      <c r="M33" s="19"/>
      <c r="N33" s="19"/>
      <c r="O33" s="19"/>
    </row>
    <row r="34" spans="1:15" ht="12.75">
      <c r="A34" s="16" t="s">
        <v>620</v>
      </c>
      <c r="C34" s="19">
        <v>0</v>
      </c>
      <c r="D34" s="19"/>
      <c r="E34" s="19">
        <v>0</v>
      </c>
      <c r="F34" s="19"/>
      <c r="G34" s="19">
        <v>0</v>
      </c>
      <c r="H34" s="19"/>
      <c r="I34" s="19">
        <v>0</v>
      </c>
      <c r="J34" s="19"/>
      <c r="K34" s="19">
        <v>-842375</v>
      </c>
      <c r="L34" s="19"/>
      <c r="M34" s="19">
        <v>-4</v>
      </c>
      <c r="N34" s="19"/>
      <c r="O34" s="19">
        <f>SUM(C34:N34)</f>
        <v>-842379</v>
      </c>
    </row>
    <row r="35" spans="1:15" ht="12.75">
      <c r="A35" s="16"/>
      <c r="C35" s="19"/>
      <c r="D35" s="19"/>
      <c r="E35" s="19"/>
      <c r="F35" s="19"/>
      <c r="G35" s="19"/>
      <c r="H35" s="19"/>
      <c r="I35" s="19"/>
      <c r="J35" s="19"/>
      <c r="K35" s="19"/>
      <c r="L35" s="19"/>
      <c r="M35" s="19"/>
      <c r="N35" s="19"/>
      <c r="O35" s="19"/>
    </row>
    <row r="36" spans="1:15" ht="13.5" thickBot="1">
      <c r="A36" s="16" t="s">
        <v>632</v>
      </c>
      <c r="C36" s="41">
        <f>SUM(C18:C35)</f>
        <v>5296700</v>
      </c>
      <c r="D36" s="19"/>
      <c r="E36" s="41">
        <f>SUM(E18:E35)</f>
        <v>3815775</v>
      </c>
      <c r="F36" s="19"/>
      <c r="G36" s="41">
        <f>SUM(G18:G35)</f>
        <v>189597</v>
      </c>
      <c r="H36" s="19"/>
      <c r="I36" s="41">
        <f>SUM(I18:I35)</f>
        <v>-288879</v>
      </c>
      <c r="J36" s="19"/>
      <c r="K36" s="41">
        <f>SUM(K18:K35)</f>
        <v>5426831</v>
      </c>
      <c r="L36" s="26"/>
      <c r="M36" s="41">
        <f>SUM(M18:M35)</f>
        <v>197</v>
      </c>
      <c r="N36" s="19"/>
      <c r="O36" s="41">
        <f>SUM(O18:O35)</f>
        <v>14440221</v>
      </c>
    </row>
    <row r="37" ht="13.5" thickTop="1">
      <c r="A37" s="16"/>
    </row>
    <row r="38" spans="1:15" ht="12.75">
      <c r="A38" s="348"/>
      <c r="B38" s="348"/>
      <c r="C38" s="48"/>
      <c r="D38" s="48"/>
      <c r="E38" s="48"/>
      <c r="F38" s="48"/>
      <c r="G38" s="48"/>
      <c r="H38" s="48"/>
      <c r="I38" s="35"/>
      <c r="J38" s="48"/>
      <c r="K38" s="48"/>
      <c r="L38" s="48"/>
      <c r="M38" s="35"/>
      <c r="N38" s="35"/>
      <c r="O38" s="48"/>
    </row>
    <row r="41" ht="12.75">
      <c r="A41" s="9" t="s">
        <v>637</v>
      </c>
    </row>
    <row r="43" spans="1:15" s="9" customFormat="1" ht="12.75">
      <c r="A43" s="16" t="s">
        <v>624</v>
      </c>
      <c r="C43" s="64">
        <v>5296700</v>
      </c>
      <c r="D43" s="64"/>
      <c r="E43" s="64">
        <v>3815775</v>
      </c>
      <c r="F43" s="64"/>
      <c r="G43" s="64">
        <v>249027</v>
      </c>
      <c r="H43" s="64"/>
      <c r="I43" s="64">
        <v>63063</v>
      </c>
      <c r="J43" s="64"/>
      <c r="K43" s="64">
        <v>5061027</v>
      </c>
      <c r="L43" s="64"/>
      <c r="M43" s="64">
        <v>217</v>
      </c>
      <c r="N43" s="64"/>
      <c r="O43" s="64">
        <v>14485809</v>
      </c>
    </row>
    <row r="44" spans="1:15" s="9" customFormat="1" ht="12.75">
      <c r="A44" s="16"/>
      <c r="C44" s="19"/>
      <c r="D44" s="19"/>
      <c r="E44" s="19"/>
      <c r="F44" s="19"/>
      <c r="G44" s="19"/>
      <c r="H44" s="19"/>
      <c r="I44" s="19"/>
      <c r="J44" s="19"/>
      <c r="K44" s="19"/>
      <c r="L44" s="19"/>
      <c r="M44" s="19"/>
      <c r="N44" s="19"/>
      <c r="O44" s="19"/>
    </row>
    <row r="45" spans="1:15" s="9" customFormat="1" ht="12.75">
      <c r="A45" s="16" t="s">
        <v>550</v>
      </c>
      <c r="C45" s="19">
        <v>0</v>
      </c>
      <c r="D45" s="19"/>
      <c r="E45" s="19">
        <v>0</v>
      </c>
      <c r="F45" s="19"/>
      <c r="G45" s="19">
        <v>0</v>
      </c>
      <c r="H45" s="19"/>
      <c r="I45" s="19">
        <v>0</v>
      </c>
      <c r="J45" s="19"/>
      <c r="K45" s="19">
        <v>0</v>
      </c>
      <c r="L45" s="19"/>
      <c r="M45" s="19">
        <v>0</v>
      </c>
      <c r="N45" s="19"/>
      <c r="O45" s="19">
        <f>SUM(C45:N45)</f>
        <v>0</v>
      </c>
    </row>
    <row r="46" spans="1:15" s="9" customFormat="1" ht="12.75">
      <c r="A46" s="16" t="s">
        <v>551</v>
      </c>
      <c r="C46" s="19"/>
      <c r="D46" s="19"/>
      <c r="E46" s="19"/>
      <c r="F46" s="19"/>
      <c r="G46" s="19"/>
      <c r="H46" s="19"/>
      <c r="I46" s="19"/>
      <c r="J46" s="19"/>
      <c r="K46" s="19"/>
      <c r="L46" s="19"/>
      <c r="M46" s="19"/>
      <c r="N46" s="19"/>
      <c r="O46" s="19"/>
    </row>
    <row r="47" spans="1:15" s="9" customFormat="1" ht="12.75">
      <c r="A47" s="16"/>
      <c r="C47" s="19"/>
      <c r="D47" s="19"/>
      <c r="E47" s="19"/>
      <c r="F47" s="19"/>
      <c r="G47" s="19"/>
      <c r="H47" s="19"/>
      <c r="I47" s="19"/>
      <c r="J47" s="19"/>
      <c r="K47" s="19"/>
      <c r="L47" s="19"/>
      <c r="M47" s="19"/>
      <c r="N47" s="19"/>
      <c r="O47" s="19"/>
    </row>
    <row r="48" spans="1:15" s="9" customFormat="1" ht="12.75">
      <c r="A48" s="16" t="s">
        <v>545</v>
      </c>
      <c r="C48" s="19">
        <v>0</v>
      </c>
      <c r="D48" s="19"/>
      <c r="E48" s="19">
        <v>0</v>
      </c>
      <c r="F48" s="19"/>
      <c r="G48" s="19">
        <v>0</v>
      </c>
      <c r="H48" s="19"/>
      <c r="I48" s="19">
        <v>0</v>
      </c>
      <c r="J48" s="19"/>
      <c r="K48" s="19">
        <v>0</v>
      </c>
      <c r="L48" s="19"/>
      <c r="M48" s="19">
        <v>0</v>
      </c>
      <c r="N48" s="19"/>
      <c r="O48" s="19">
        <f>SUM(C48:N48)</f>
        <v>0</v>
      </c>
    </row>
    <row r="49" spans="1:15" s="9" customFormat="1" ht="12.75">
      <c r="A49" s="16"/>
      <c r="C49" s="19"/>
      <c r="D49" s="19"/>
      <c r="E49" s="19"/>
      <c r="F49" s="19"/>
      <c r="G49" s="19"/>
      <c r="H49" s="19"/>
      <c r="I49" s="19"/>
      <c r="J49" s="19"/>
      <c r="K49" s="19"/>
      <c r="L49" s="19"/>
      <c r="M49" s="19"/>
      <c r="N49" s="19"/>
      <c r="O49" s="19"/>
    </row>
    <row r="50" spans="1:15" s="9" customFormat="1" ht="12.75">
      <c r="A50" s="16" t="s">
        <v>631</v>
      </c>
      <c r="C50" s="19">
        <f>'Balance Sheets'!D37-'Balance Sheets'!F37</f>
        <v>9999.627499999478</v>
      </c>
      <c r="D50" s="19"/>
      <c r="E50" s="19">
        <f>'Balance Sheets'!D38-'Balance Sheets'!F38</f>
        <v>6000.299999999814</v>
      </c>
      <c r="F50" s="19"/>
      <c r="G50" s="19">
        <v>0</v>
      </c>
      <c r="H50" s="19"/>
      <c r="I50" s="19">
        <v>0</v>
      </c>
      <c r="J50" s="19"/>
      <c r="K50" s="19">
        <v>0</v>
      </c>
      <c r="L50" s="19"/>
      <c r="M50" s="19">
        <v>0</v>
      </c>
      <c r="N50" s="19"/>
      <c r="O50" s="19">
        <f>SUM(C50:N50)</f>
        <v>15999.927499999292</v>
      </c>
    </row>
    <row r="51" spans="1:15" s="9" customFormat="1" ht="12.75">
      <c r="A51" s="16" t="s">
        <v>630</v>
      </c>
      <c r="C51" s="19"/>
      <c r="D51" s="19"/>
      <c r="E51" s="19"/>
      <c r="F51" s="19"/>
      <c r="G51" s="19"/>
      <c r="H51" s="19"/>
      <c r="I51" s="19"/>
      <c r="J51" s="19"/>
      <c r="K51" s="19"/>
      <c r="L51" s="19"/>
      <c r="M51" s="19"/>
      <c r="N51" s="19"/>
      <c r="O51" s="19"/>
    </row>
    <row r="52" spans="1:15" s="9" customFormat="1" ht="12.75">
      <c r="A52" s="16"/>
      <c r="C52" s="19"/>
      <c r="D52" s="19"/>
      <c r="E52" s="19"/>
      <c r="F52" s="19"/>
      <c r="G52" s="19"/>
      <c r="H52" s="19"/>
      <c r="I52" s="19"/>
      <c r="J52" s="19"/>
      <c r="K52" s="19"/>
      <c r="L52" s="19"/>
      <c r="M52" s="19"/>
      <c r="N52" s="19"/>
      <c r="O52" s="19"/>
    </row>
    <row r="53" spans="1:15" s="9" customFormat="1" ht="12.75">
      <c r="A53" s="16" t="s">
        <v>556</v>
      </c>
      <c r="C53" s="19"/>
      <c r="D53" s="19"/>
      <c r="E53" s="19"/>
      <c r="F53" s="19"/>
      <c r="G53" s="19"/>
      <c r="H53" s="19"/>
      <c r="I53" s="19"/>
      <c r="J53" s="19"/>
      <c r="K53" s="19"/>
      <c r="L53" s="19"/>
      <c r="M53" s="19"/>
      <c r="N53" s="19"/>
      <c r="O53" s="19"/>
    </row>
    <row r="54" spans="1:15" s="9" customFormat="1" ht="12.75">
      <c r="A54" s="16" t="s">
        <v>557</v>
      </c>
      <c r="C54" s="19"/>
      <c r="D54" s="19"/>
      <c r="E54" s="19"/>
      <c r="F54" s="19"/>
      <c r="G54" s="19"/>
      <c r="H54" s="19"/>
      <c r="I54" s="19"/>
      <c r="J54" s="19"/>
      <c r="K54" s="19"/>
      <c r="L54" s="19"/>
      <c r="M54" s="19"/>
      <c r="N54" s="19"/>
      <c r="O54" s="19"/>
    </row>
    <row r="55" spans="1:15" s="9" customFormat="1" ht="12.75">
      <c r="A55" s="16" t="s">
        <v>558</v>
      </c>
      <c r="C55" s="19">
        <v>0</v>
      </c>
      <c r="D55" s="19"/>
      <c r="E55" s="19">
        <v>0</v>
      </c>
      <c r="F55" s="19"/>
      <c r="G55" s="19">
        <v>0</v>
      </c>
      <c r="H55" s="19"/>
      <c r="I55" s="19">
        <f>'Balance Sheets'!D40-I43</f>
        <v>1347955.2246089566</v>
      </c>
      <c r="J55" s="19"/>
      <c r="K55" s="19">
        <f>'Balance Sheets'!D41-K57-K43</f>
        <v>127242.95330671594</v>
      </c>
      <c r="L55" s="19"/>
      <c r="M55" s="19">
        <f>'Balance Sheets'!D43-M43-M57</f>
        <v>27.580000000000013</v>
      </c>
      <c r="N55" s="19"/>
      <c r="O55" s="89">
        <f>SUM(C55:N55)</f>
        <v>1475225.7579156726</v>
      </c>
    </row>
    <row r="56" spans="1:15" ht="12.75">
      <c r="A56" s="16"/>
      <c r="C56" s="19"/>
      <c r="D56" s="19"/>
      <c r="E56" s="19"/>
      <c r="F56" s="19"/>
      <c r="G56" s="19"/>
      <c r="H56" s="19"/>
      <c r="I56" s="19"/>
      <c r="J56" s="19"/>
      <c r="K56" s="19"/>
      <c r="L56" s="19"/>
      <c r="M56" s="19"/>
      <c r="N56" s="19"/>
      <c r="O56" s="19"/>
    </row>
    <row r="57" spans="1:15" ht="12.75">
      <c r="A57" s="16" t="s">
        <v>502</v>
      </c>
      <c r="C57" s="19">
        <v>0</v>
      </c>
      <c r="D57" s="19"/>
      <c r="E57" s="19">
        <v>0</v>
      </c>
      <c r="F57" s="19"/>
      <c r="G57" s="19">
        <v>0</v>
      </c>
      <c r="H57" s="19"/>
      <c r="I57" s="19">
        <v>0</v>
      </c>
      <c r="J57" s="19"/>
      <c r="K57" s="19">
        <f>'Income Statement'!G39</f>
        <v>1566238</v>
      </c>
      <c r="L57" s="19"/>
      <c r="M57" s="19">
        <f>'Income Statement'!G40</f>
        <v>1</v>
      </c>
      <c r="N57" s="19"/>
      <c r="O57" s="19">
        <f>SUM(C57:N57)</f>
        <v>1566239</v>
      </c>
    </row>
    <row r="58" spans="1:15" ht="12.75">
      <c r="A58" s="16"/>
      <c r="C58" s="19"/>
      <c r="D58" s="19"/>
      <c r="E58" s="19"/>
      <c r="F58" s="19"/>
      <c r="G58" s="19"/>
      <c r="H58" s="19"/>
      <c r="I58" s="19"/>
      <c r="J58" s="19"/>
      <c r="K58" s="19"/>
      <c r="L58" s="19"/>
      <c r="M58" s="19"/>
      <c r="N58" s="19"/>
      <c r="O58" s="19"/>
    </row>
    <row r="59" spans="1:15" ht="13.5" thickBot="1">
      <c r="A59" s="16" t="s">
        <v>638</v>
      </c>
      <c r="C59" s="41">
        <f>SUM(C43:C58)</f>
        <v>5306699.6274999995</v>
      </c>
      <c r="D59" s="19"/>
      <c r="E59" s="41">
        <f>SUM(E43:E58)</f>
        <v>3821775.3</v>
      </c>
      <c r="F59" s="19"/>
      <c r="G59" s="41">
        <f>SUM(G43:G58)</f>
        <v>249027</v>
      </c>
      <c r="H59" s="19"/>
      <c r="I59" s="41">
        <f>SUM(I43:I58)</f>
        <v>1411018.2246089566</v>
      </c>
      <c r="J59" s="19"/>
      <c r="K59" s="41">
        <f>SUM(K43:K58)</f>
        <v>6754507.953306716</v>
      </c>
      <c r="L59" s="26"/>
      <c r="M59" s="41">
        <f>SUM(M43:M58)</f>
        <v>245.58</v>
      </c>
      <c r="N59" s="19"/>
      <c r="O59" s="41">
        <f>SUM(O43:O58)</f>
        <v>17543273.68541567</v>
      </c>
    </row>
    <row r="60" ht="13.5" thickTop="1">
      <c r="A60" s="16"/>
    </row>
    <row r="61" spans="1:15" ht="12.75">
      <c r="A61" s="348"/>
      <c r="B61" s="348"/>
      <c r="C61" s="233"/>
      <c r="D61" s="48"/>
      <c r="E61" s="48"/>
      <c r="F61" s="48"/>
      <c r="G61" s="48"/>
      <c r="H61" s="48"/>
      <c r="I61" s="35"/>
      <c r="J61" s="48"/>
      <c r="K61" s="48"/>
      <c r="L61" s="48"/>
      <c r="M61" s="35"/>
      <c r="N61" s="35"/>
      <c r="O61" s="35"/>
    </row>
    <row r="62" spans="3:15" ht="12.75">
      <c r="C62" s="48"/>
      <c r="D62" s="48"/>
      <c r="E62" s="48"/>
      <c r="F62" s="48"/>
      <c r="G62" s="48"/>
      <c r="H62" s="48"/>
      <c r="I62" s="35"/>
      <c r="J62" s="48"/>
      <c r="K62" s="48"/>
      <c r="L62" s="48"/>
      <c r="M62" s="35"/>
      <c r="N62" s="35"/>
      <c r="O62" s="48"/>
    </row>
    <row r="63" spans="1:15" ht="12.75">
      <c r="A63" s="393" t="s">
        <v>618</v>
      </c>
      <c r="B63" s="348"/>
      <c r="C63" s="48"/>
      <c r="D63" s="48"/>
      <c r="E63" s="48"/>
      <c r="F63" s="48"/>
      <c r="G63" s="48"/>
      <c r="H63" s="48"/>
      <c r="I63" s="35"/>
      <c r="J63" s="48"/>
      <c r="K63" s="48"/>
      <c r="L63" s="48"/>
      <c r="M63" s="35"/>
      <c r="N63" s="35"/>
      <c r="O63" s="48"/>
    </row>
  </sheetData>
  <sheetProtection/>
  <mergeCells count="6">
    <mergeCell ref="A9:O9"/>
    <mergeCell ref="A7:O7"/>
    <mergeCell ref="C2:K2"/>
    <mergeCell ref="C3:K3"/>
    <mergeCell ref="C4:K4"/>
    <mergeCell ref="A6:O6"/>
  </mergeCells>
  <printOptions/>
  <pageMargins left="1" right="0" top="0.25" bottom="0" header="0.5" footer="0.5"/>
  <pageSetup fitToHeight="1"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sheetPr>
    <pageSetUpPr fitToPage="1"/>
  </sheetPr>
  <dimension ref="A2:G86"/>
  <sheetViews>
    <sheetView zoomScalePageLayoutView="0" workbookViewId="0" topLeftCell="A66">
      <selection activeCell="A57" sqref="A57"/>
    </sheetView>
  </sheetViews>
  <sheetFormatPr defaultColWidth="9.140625" defaultRowHeight="12.75"/>
  <cols>
    <col min="1" max="1" width="2.7109375" style="9" customWidth="1"/>
    <col min="2" max="2" width="2.8515625" style="9" customWidth="1"/>
    <col min="3" max="3" width="48.8515625" style="0" bestFit="1" customWidth="1"/>
    <col min="4" max="4" width="18.00390625" style="245" customWidth="1"/>
    <col min="5" max="5" width="2.7109375" style="364" customWidth="1"/>
    <col min="6" max="6" width="17.421875" style="0" bestFit="1" customWidth="1"/>
    <col min="7" max="7" width="13.57421875" style="0" customWidth="1"/>
  </cols>
  <sheetData>
    <row r="2" spans="1:6" ht="12.75">
      <c r="A2" s="419" t="str">
        <f>'Income Statement'!C2</f>
        <v>ES CERAMICS TECHNOLOGY BHD</v>
      </c>
      <c r="B2" s="419"/>
      <c r="C2" s="419"/>
      <c r="D2" s="419"/>
      <c r="E2" s="419"/>
      <c r="F2" s="419"/>
    </row>
    <row r="3" spans="1:6" ht="12.75">
      <c r="A3" s="419" t="str">
        <f>'Income Statement'!C3</f>
        <v>Company No. 627117-P</v>
      </c>
      <c r="B3" s="419"/>
      <c r="C3" s="419"/>
      <c r="D3" s="419"/>
      <c r="E3" s="419"/>
      <c r="F3" s="419"/>
    </row>
    <row r="4" spans="1:6" ht="12.75">
      <c r="A4" s="419" t="str">
        <f>'Income Statement'!C4</f>
        <v>(Incorporated in Malaysia)</v>
      </c>
      <c r="B4" s="419"/>
      <c r="C4" s="419"/>
      <c r="D4" s="419"/>
      <c r="E4" s="419"/>
      <c r="F4" s="419"/>
    </row>
    <row r="5" spans="1:6" ht="13.5" thickBot="1">
      <c r="A5" s="349"/>
      <c r="B5" s="349"/>
      <c r="C5" s="345"/>
      <c r="D5" s="379"/>
      <c r="E5" s="363"/>
      <c r="F5" s="345"/>
    </row>
    <row r="6" spans="1:6" ht="12.75">
      <c r="A6" s="420" t="str">
        <f>'Income Statement'!A6</f>
        <v>INTERIM FINANCIAL REPORT FOR THE THIRD QUARTER</v>
      </c>
      <c r="B6" s="420"/>
      <c r="C6" s="420"/>
      <c r="D6" s="420"/>
      <c r="E6" s="420"/>
      <c r="F6" s="420"/>
    </row>
    <row r="7" spans="1:6" ht="13.5" thickBot="1">
      <c r="A7" s="422" t="str">
        <f>'Income Statement'!A7</f>
        <v>ENDED 28 FEBRUARY 2010</v>
      </c>
      <c r="B7" s="422"/>
      <c r="C7" s="422"/>
      <c r="D7" s="422"/>
      <c r="E7" s="422"/>
      <c r="F7" s="422"/>
    </row>
    <row r="9" spans="1:6" ht="12.75">
      <c r="A9" s="419" t="s">
        <v>586</v>
      </c>
      <c r="B9" s="419"/>
      <c r="C9" s="419"/>
      <c r="D9" s="419"/>
      <c r="E9" s="419"/>
      <c r="F9" s="419"/>
    </row>
    <row r="10" spans="4:6" ht="12.75">
      <c r="D10" s="246"/>
      <c r="E10" s="88"/>
      <c r="F10" s="67"/>
    </row>
    <row r="11" ht="12.75">
      <c r="E11" s="88"/>
    </row>
    <row r="12" spans="4:6" ht="12.75">
      <c r="D12" s="246" t="s">
        <v>560</v>
      </c>
      <c r="E12" s="88"/>
      <c r="F12" s="67" t="s">
        <v>561</v>
      </c>
    </row>
    <row r="13" spans="4:6" ht="12.75">
      <c r="D13" s="246" t="s">
        <v>525</v>
      </c>
      <c r="E13" s="88"/>
      <c r="F13" s="67" t="s">
        <v>525</v>
      </c>
    </row>
    <row r="14" spans="4:6" ht="12.75">
      <c r="D14" s="380">
        <f>'Income Statement'!C16</f>
        <v>40237</v>
      </c>
      <c r="E14" s="88"/>
      <c r="F14" s="346">
        <f>'Income Statement'!E16</f>
        <v>39872</v>
      </c>
    </row>
    <row r="15" ht="12.75">
      <c r="F15" s="67"/>
    </row>
    <row r="16" spans="4:6" ht="12.75">
      <c r="D16" s="246" t="s">
        <v>4</v>
      </c>
      <c r="E16" s="88"/>
      <c r="F16" s="67" t="str">
        <f>D16</f>
        <v>RM</v>
      </c>
    </row>
    <row r="17" spans="1:5" s="9" customFormat="1" ht="12.75">
      <c r="A17" s="9" t="s">
        <v>104</v>
      </c>
      <c r="D17" s="381"/>
      <c r="E17" s="365"/>
    </row>
    <row r="18" spans="2:6" ht="12.75">
      <c r="B18" t="s">
        <v>207</v>
      </c>
      <c r="D18" s="245">
        <f>'Income Statement'!G31</f>
        <v>1763473</v>
      </c>
      <c r="E18" s="245"/>
      <c r="F18" s="21">
        <v>-598508</v>
      </c>
    </row>
    <row r="19" spans="2:6" ht="12.75">
      <c r="B19"/>
      <c r="E19" s="245"/>
      <c r="F19" s="21"/>
    </row>
    <row r="20" spans="2:6" ht="12.75">
      <c r="B20" t="s">
        <v>562</v>
      </c>
      <c r="D20" s="259"/>
      <c r="E20" s="259"/>
      <c r="F20" s="21"/>
    </row>
    <row r="21" spans="3:6" ht="12.75">
      <c r="C21" t="s">
        <v>563</v>
      </c>
      <c r="D21" s="259">
        <f>-'Income Statement'!G27</f>
        <v>2203852</v>
      </c>
      <c r="E21" s="259"/>
      <c r="F21" s="21">
        <v>1314456</v>
      </c>
    </row>
    <row r="22" spans="3:6" ht="12.75">
      <c r="C22" t="s">
        <v>621</v>
      </c>
      <c r="D22" s="259">
        <f>-261151.5-235817-218661</f>
        <v>-715629.5</v>
      </c>
      <c r="E22" s="259"/>
      <c r="F22" s="21"/>
    </row>
    <row r="23" spans="3:6" ht="12.75">
      <c r="C23" t="s">
        <v>518</v>
      </c>
      <c r="D23" s="259">
        <f>-'Income Statement'!G24</f>
        <v>1458241</v>
      </c>
      <c r="E23" s="259"/>
      <c r="F23" s="21">
        <v>1273407</v>
      </c>
    </row>
    <row r="24" spans="3:6" ht="12.75">
      <c r="C24" s="16" t="s">
        <v>633</v>
      </c>
      <c r="D24" s="259">
        <v>0</v>
      </c>
      <c r="E24" s="259"/>
      <c r="F24" s="259">
        <v>402075</v>
      </c>
    </row>
    <row r="25" spans="3:6" ht="12.75">
      <c r="C25" t="s">
        <v>591</v>
      </c>
      <c r="D25" s="259">
        <v>16000</v>
      </c>
      <c r="E25" s="259"/>
      <c r="F25" s="21">
        <v>0</v>
      </c>
    </row>
    <row r="26" spans="3:6" ht="12.75">
      <c r="C26" s="16" t="s">
        <v>634</v>
      </c>
      <c r="D26" s="259">
        <v>0</v>
      </c>
      <c r="E26" s="259"/>
      <c r="F26" s="259">
        <v>990996</v>
      </c>
    </row>
    <row r="27" spans="3:6" ht="12.75">
      <c r="C27" s="16" t="s">
        <v>297</v>
      </c>
      <c r="D27" s="259">
        <f>-'Income Statement'!G29</f>
        <v>-10640</v>
      </c>
      <c r="E27" s="259"/>
      <c r="F27" s="21">
        <v>-32830</v>
      </c>
    </row>
    <row r="28" spans="3:6" ht="12.75">
      <c r="C28" t="s">
        <v>595</v>
      </c>
      <c r="D28" s="259">
        <v>41625</v>
      </c>
      <c r="E28" s="259"/>
      <c r="F28" s="21">
        <v>41625</v>
      </c>
    </row>
    <row r="29" spans="3:6" ht="12.75">
      <c r="C29" t="s">
        <v>564</v>
      </c>
      <c r="D29" s="264">
        <v>-88729</v>
      </c>
      <c r="E29" s="259"/>
      <c r="F29" s="366">
        <v>0</v>
      </c>
    </row>
    <row r="30" spans="2:6" ht="12.75">
      <c r="B30" s="16" t="s">
        <v>299</v>
      </c>
      <c r="D30" s="259">
        <f>ROUNDDOWN(SUM(D18:D29),0)</f>
        <v>4668192</v>
      </c>
      <c r="E30" s="259"/>
      <c r="F30" s="21">
        <f>SUM(F18:F29)</f>
        <v>3391221</v>
      </c>
    </row>
    <row r="31" spans="4:6" s="9" customFormat="1" ht="12.75">
      <c r="D31" s="367"/>
      <c r="E31" s="367"/>
      <c r="F31" s="368"/>
    </row>
    <row r="32" spans="2:6" ht="12.75">
      <c r="B32" s="16" t="s">
        <v>565</v>
      </c>
      <c r="D32" s="259"/>
      <c r="E32" s="259"/>
      <c r="F32" s="21"/>
    </row>
    <row r="33" spans="2:6" ht="12.75">
      <c r="B33" s="16"/>
      <c r="C33" t="s">
        <v>566</v>
      </c>
      <c r="D33" s="259">
        <v>-525234</v>
      </c>
      <c r="E33" s="259"/>
      <c r="F33" s="259">
        <v>-608615</v>
      </c>
    </row>
    <row r="34" spans="2:6" ht="12.75">
      <c r="B34" s="16"/>
      <c r="C34" t="s">
        <v>567</v>
      </c>
      <c r="D34" s="259">
        <f>-409425+328089</f>
        <v>-81336</v>
      </c>
      <c r="E34" s="259"/>
      <c r="F34" s="259">
        <v>-1163792</v>
      </c>
    </row>
    <row r="35" spans="2:6" ht="12.75">
      <c r="B35" s="16"/>
      <c r="C35" t="s">
        <v>568</v>
      </c>
      <c r="D35" s="264">
        <v>-1398532</v>
      </c>
      <c r="E35" s="259"/>
      <c r="F35" s="264">
        <v>1572976</v>
      </c>
    </row>
    <row r="36" spans="2:7" ht="12.75">
      <c r="B36" s="16" t="s">
        <v>302</v>
      </c>
      <c r="D36" s="259">
        <f>SUM(D30:D35)</f>
        <v>2663090</v>
      </c>
      <c r="E36" s="259"/>
      <c r="F36" s="369">
        <f>SUM(F30:F35)</f>
        <v>3191790</v>
      </c>
      <c r="G36" s="21"/>
    </row>
    <row r="37" spans="2:6" ht="12.75">
      <c r="B37" s="16"/>
      <c r="D37" s="259"/>
      <c r="E37" s="259"/>
      <c r="F37" s="21"/>
    </row>
    <row r="38" spans="2:6" s="9" customFormat="1" ht="12.75">
      <c r="B38" s="16" t="s">
        <v>518</v>
      </c>
      <c r="D38" s="92">
        <f>-D23</f>
        <v>-1458241</v>
      </c>
      <c r="E38" s="367"/>
      <c r="F38" s="92">
        <v>-1273407</v>
      </c>
    </row>
    <row r="39" spans="2:6" s="9" customFormat="1" ht="12.75">
      <c r="B39" s="16" t="s">
        <v>569</v>
      </c>
      <c r="D39" s="92">
        <f>'Income Statement'!G33-358989.76+73787</f>
        <v>-482436.76</v>
      </c>
      <c r="E39" s="367"/>
      <c r="F39" s="92">
        <v>-288716</v>
      </c>
    </row>
    <row r="40" spans="2:6" ht="12.75">
      <c r="B40" s="9" t="s">
        <v>570</v>
      </c>
      <c r="D40" s="268">
        <f>SUM(D36:D39)</f>
        <v>722412.24</v>
      </c>
      <c r="E40" s="259"/>
      <c r="F40" s="370">
        <f>SUM(F36:F39)</f>
        <v>1629667</v>
      </c>
    </row>
    <row r="41" spans="2:6" ht="12.75">
      <c r="B41" s="16"/>
      <c r="D41" s="259"/>
      <c r="E41" s="259"/>
      <c r="F41" s="21"/>
    </row>
    <row r="42" spans="1:6" ht="12.75">
      <c r="A42" s="9" t="s">
        <v>571</v>
      </c>
      <c r="B42" s="16"/>
      <c r="D42" s="259"/>
      <c r="E42" s="259"/>
      <c r="F42" s="21"/>
    </row>
    <row r="43" spans="2:6" s="9" customFormat="1" ht="12.75">
      <c r="B43" s="16" t="s">
        <v>572</v>
      </c>
      <c r="D43" s="92">
        <v>-416339</v>
      </c>
      <c r="E43" s="367"/>
      <c r="F43" s="64">
        <v>-565776</v>
      </c>
    </row>
    <row r="44" spans="2:6" s="9" customFormat="1" ht="12.75">
      <c r="B44" s="16" t="s">
        <v>297</v>
      </c>
      <c r="D44" s="92">
        <f>-D27</f>
        <v>10640</v>
      </c>
      <c r="E44" s="367"/>
      <c r="F44" s="64">
        <v>32830</v>
      </c>
    </row>
    <row r="45" spans="2:6" s="9" customFormat="1" ht="12.75">
      <c r="B45" s="16" t="s">
        <v>573</v>
      </c>
      <c r="D45" s="92">
        <v>-50882</v>
      </c>
      <c r="E45" s="367"/>
      <c r="F45" s="64">
        <v>-70184</v>
      </c>
    </row>
    <row r="46" spans="2:6" s="9" customFormat="1" ht="12.75">
      <c r="B46" s="16" t="s">
        <v>574</v>
      </c>
      <c r="D46" s="92">
        <v>151696</v>
      </c>
      <c r="E46" s="367"/>
      <c r="F46" s="64">
        <v>0</v>
      </c>
    </row>
    <row r="47" spans="2:6" s="9" customFormat="1" ht="12.75">
      <c r="B47" s="16" t="s">
        <v>575</v>
      </c>
      <c r="D47" s="92">
        <v>0</v>
      </c>
      <c r="E47" s="367"/>
      <c r="F47" s="64">
        <v>-8099119</v>
      </c>
    </row>
    <row r="48" spans="2:6" s="9" customFormat="1" ht="12.75">
      <c r="B48" s="16" t="s">
        <v>576</v>
      </c>
      <c r="D48" s="92">
        <v>0</v>
      </c>
      <c r="E48" s="367"/>
      <c r="F48" s="64">
        <v>0</v>
      </c>
    </row>
    <row r="49" spans="2:6" ht="12.75">
      <c r="B49" s="9" t="s">
        <v>577</v>
      </c>
      <c r="D49" s="268">
        <f>SUM(D43:D48)</f>
        <v>-304885</v>
      </c>
      <c r="E49" s="259"/>
      <c r="F49" s="370">
        <f>SUM(F43:F48)</f>
        <v>-8702249</v>
      </c>
    </row>
    <row r="50" spans="2:6" ht="12.75">
      <c r="B50" s="16"/>
      <c r="D50" s="259"/>
      <c r="E50" s="259"/>
      <c r="F50" s="21"/>
    </row>
    <row r="51" spans="1:6" s="9" customFormat="1" ht="12.75">
      <c r="A51" s="9" t="s">
        <v>105</v>
      </c>
      <c r="B51" s="16"/>
      <c r="D51" s="92"/>
      <c r="E51" s="367"/>
      <c r="F51" s="64"/>
    </row>
    <row r="52" spans="2:7" s="9" customFormat="1" ht="12.75">
      <c r="B52" s="16" t="s">
        <v>578</v>
      </c>
      <c r="D52" s="92">
        <v>-479000</v>
      </c>
      <c r="E52" s="367"/>
      <c r="F52" s="64">
        <f>817000+214633</f>
        <v>1031633</v>
      </c>
      <c r="G52" s="64"/>
    </row>
    <row r="53" spans="2:6" s="9" customFormat="1" ht="12.75">
      <c r="B53" s="16" t="s">
        <v>579</v>
      </c>
      <c r="D53" s="92">
        <v>-1390452</v>
      </c>
      <c r="E53" s="367"/>
      <c r="F53" s="64">
        <v>-474508</v>
      </c>
    </row>
    <row r="54" spans="2:6" s="9" customFormat="1" ht="12.75">
      <c r="B54" s="16" t="s">
        <v>580</v>
      </c>
      <c r="D54" s="92">
        <v>16000</v>
      </c>
      <c r="E54" s="367"/>
      <c r="F54" s="64">
        <v>0</v>
      </c>
    </row>
    <row r="55" spans="2:6" s="9" customFormat="1" ht="12.75">
      <c r="B55" s="16" t="s">
        <v>590</v>
      </c>
      <c r="D55" s="92">
        <v>0</v>
      </c>
      <c r="E55" s="367"/>
      <c r="F55" s="64">
        <v>0</v>
      </c>
    </row>
    <row r="56" spans="2:6" s="9" customFormat="1" ht="12.75">
      <c r="B56" s="16" t="s">
        <v>581</v>
      </c>
      <c r="D56" s="92">
        <v>0</v>
      </c>
      <c r="E56" s="367"/>
      <c r="F56" s="64">
        <v>0</v>
      </c>
    </row>
    <row r="57" spans="2:6" ht="12.75">
      <c r="B57" s="16" t="s">
        <v>589</v>
      </c>
      <c r="D57" s="264">
        <v>216076</v>
      </c>
      <c r="E57" s="259"/>
      <c r="F57" s="366">
        <v>-78867</v>
      </c>
    </row>
    <row r="58" spans="2:6" ht="12.75">
      <c r="B58" s="9" t="s">
        <v>312</v>
      </c>
      <c r="D58" s="268">
        <f>SUM(D52:D57)</f>
        <v>-1637376</v>
      </c>
      <c r="E58" s="259"/>
      <c r="F58" s="366">
        <f>SUM(F52:F57)</f>
        <v>478258</v>
      </c>
    </row>
    <row r="59" spans="1:6" ht="12.75">
      <c r="A59" s="350"/>
      <c r="B59" s="58"/>
      <c r="D59" s="259"/>
      <c r="E59" s="259"/>
      <c r="F59" s="21"/>
    </row>
    <row r="60" spans="1:6" ht="12.75">
      <c r="A60" s="9" t="s">
        <v>582</v>
      </c>
      <c r="B60" s="16"/>
      <c r="D60" s="259">
        <f>(D58+D49+D40)</f>
        <v>-1219848.76</v>
      </c>
      <c r="E60" s="259"/>
      <c r="F60" s="131">
        <f>F40+F49+F58</f>
        <v>-6594324</v>
      </c>
    </row>
    <row r="61" spans="2:6" ht="12.75">
      <c r="B61" s="16"/>
      <c r="D61" s="259"/>
      <c r="E61" s="259"/>
      <c r="F61" s="21"/>
    </row>
    <row r="62" spans="1:6" ht="12.75">
      <c r="A62" s="9" t="s">
        <v>583</v>
      </c>
      <c r="B62" s="58"/>
      <c r="C62" s="348"/>
      <c r="D62" s="259">
        <v>58737</v>
      </c>
      <c r="E62" s="259"/>
      <c r="F62" s="21">
        <v>288879</v>
      </c>
    </row>
    <row r="63" spans="2:6" ht="12.75">
      <c r="B63" s="58"/>
      <c r="C63" s="348"/>
      <c r="D63" s="259"/>
      <c r="E63" s="259"/>
      <c r="F63" s="259"/>
    </row>
    <row r="64" spans="1:6" ht="12.75">
      <c r="A64" s="9" t="s">
        <v>584</v>
      </c>
      <c r="B64" s="58"/>
      <c r="C64" s="348"/>
      <c r="D64" s="382">
        <v>2919018</v>
      </c>
      <c r="E64" s="259"/>
      <c r="F64" s="394">
        <v>5787684</v>
      </c>
    </row>
    <row r="65" spans="2:6" ht="12.75">
      <c r="B65" s="16"/>
      <c r="C65" s="348"/>
      <c r="D65" s="259"/>
      <c r="E65" s="259"/>
      <c r="F65" s="21"/>
    </row>
    <row r="66" spans="1:6" ht="13.5" thickBot="1">
      <c r="A66" s="9" t="s">
        <v>585</v>
      </c>
      <c r="B66" s="16"/>
      <c r="C66" s="348"/>
      <c r="D66" s="265">
        <f>SUM(D60:D64)</f>
        <v>1757906.24</v>
      </c>
      <c r="E66" s="259"/>
      <c r="F66" s="371">
        <f>SUM(F60:F65)</f>
        <v>-517761</v>
      </c>
    </row>
    <row r="67" spans="2:6" ht="13.5" thickTop="1">
      <c r="B67" s="16"/>
      <c r="C67" s="348"/>
      <c r="D67" s="259"/>
      <c r="E67" s="372"/>
      <c r="F67" s="21"/>
    </row>
    <row r="68" spans="2:7" ht="12.75">
      <c r="B68" s="16"/>
      <c r="C68" s="373"/>
      <c r="E68" s="372"/>
      <c r="F68" s="131"/>
      <c r="G68" s="21"/>
    </row>
    <row r="69" spans="2:6" ht="12.75">
      <c r="B69" s="16"/>
      <c r="C69" s="373"/>
      <c r="F69" s="131"/>
    </row>
    <row r="70" spans="1:6" ht="12.75">
      <c r="A70"/>
      <c r="B70" s="16"/>
      <c r="F70" s="399"/>
    </row>
    <row r="71" spans="1:6" ht="12.75">
      <c r="A71" s="24" t="s">
        <v>592</v>
      </c>
      <c r="B71" s="16"/>
      <c r="C71" s="16"/>
      <c r="F71" s="48"/>
    </row>
    <row r="72" spans="1:7" ht="12.75">
      <c r="A72" s="24" t="s">
        <v>593</v>
      </c>
      <c r="C72" s="16"/>
      <c r="D72" s="245">
        <f>'Balance Sheets'!D30-D73</f>
        <v>2334038.4701600005</v>
      </c>
      <c r="F72" s="395">
        <v>753600</v>
      </c>
      <c r="G72" s="364"/>
    </row>
    <row r="73" spans="1:7" ht="12.75">
      <c r="A73" s="24" t="s">
        <v>625</v>
      </c>
      <c r="C73" s="16"/>
      <c r="D73" s="396">
        <v>34532</v>
      </c>
      <c r="F73" s="395">
        <v>1078034</v>
      </c>
      <c r="G73" s="364"/>
    </row>
    <row r="74" spans="1:7" ht="9.75" customHeight="1">
      <c r="A74" s="24"/>
      <c r="C74" s="16"/>
      <c r="D74" s="405"/>
      <c r="E74" s="398"/>
      <c r="F74" s="397"/>
      <c r="G74" s="364"/>
    </row>
    <row r="75" spans="1:7" ht="12.75">
      <c r="A75" s="24" t="s">
        <v>626</v>
      </c>
      <c r="C75" s="16"/>
      <c r="D75" s="404">
        <f>SUM(D72:D73)</f>
        <v>2368570.4701600005</v>
      </c>
      <c r="E75" s="404"/>
      <c r="F75" s="404">
        <f>SUM(F72:F73)</f>
        <v>1831634</v>
      </c>
      <c r="G75" s="395"/>
    </row>
    <row r="76" spans="1:7" ht="9" customHeight="1">
      <c r="A76" s="24"/>
      <c r="C76" s="16"/>
      <c r="D76" s="404"/>
      <c r="E76" s="372"/>
      <c r="F76" s="404"/>
      <c r="G76" s="395"/>
    </row>
    <row r="77" spans="1:7" ht="12.75">
      <c r="A77" s="9" t="s">
        <v>628</v>
      </c>
      <c r="C77" s="16"/>
      <c r="D77" s="259">
        <f>-D73</f>
        <v>-34532</v>
      </c>
      <c r="E77" s="372"/>
      <c r="F77" s="259">
        <f>-F73</f>
        <v>-1078034</v>
      </c>
      <c r="G77" s="364"/>
    </row>
    <row r="78" spans="1:7" ht="12.75">
      <c r="A78" s="24" t="s">
        <v>629</v>
      </c>
      <c r="C78" s="16"/>
      <c r="D78" s="406">
        <v>-576132</v>
      </c>
      <c r="E78" s="372"/>
      <c r="F78" s="92">
        <v>-1271361</v>
      </c>
      <c r="G78" s="364"/>
    </row>
    <row r="79" spans="1:7" ht="9" customHeight="1">
      <c r="A79" s="24"/>
      <c r="C79" s="16"/>
      <c r="D79" s="406"/>
      <c r="E79" s="372"/>
      <c r="F79" s="92"/>
      <c r="G79" s="364"/>
    </row>
    <row r="80" spans="1:7" ht="13.5" thickBot="1">
      <c r="A80" s="16" t="s">
        <v>627</v>
      </c>
      <c r="C80" s="16"/>
      <c r="D80" s="265">
        <f>SUM(D74:D79)</f>
        <v>1757906.4701600005</v>
      </c>
      <c r="E80" s="265"/>
      <c r="F80" s="265">
        <f>SUM(F74:F79)</f>
        <v>-517761</v>
      </c>
      <c r="G80" s="395"/>
    </row>
    <row r="81" spans="3:7" ht="13.5" thickTop="1">
      <c r="C81" s="16"/>
      <c r="D81" s="384"/>
      <c r="F81" s="372"/>
      <c r="G81" s="364"/>
    </row>
    <row r="82" spans="6:7" ht="12.75">
      <c r="F82" s="364"/>
      <c r="G82" s="364"/>
    </row>
    <row r="83" spans="4:7" ht="12.75">
      <c r="D83" s="384"/>
      <c r="F83" s="364"/>
      <c r="G83" s="364"/>
    </row>
    <row r="84" spans="1:7" ht="25.5" customHeight="1">
      <c r="A84" s="423" t="s">
        <v>619</v>
      </c>
      <c r="B84" s="423"/>
      <c r="C84" s="423"/>
      <c r="D84" s="423"/>
      <c r="E84" s="423"/>
      <c r="F84" s="423"/>
      <c r="G84" s="400"/>
    </row>
    <row r="86" ht="12.75">
      <c r="D86" s="384"/>
    </row>
  </sheetData>
  <sheetProtection/>
  <mergeCells count="7">
    <mergeCell ref="A84:F84"/>
    <mergeCell ref="A9:F9"/>
    <mergeCell ref="A7:F7"/>
    <mergeCell ref="A2:F2"/>
    <mergeCell ref="A3:F3"/>
    <mergeCell ref="A4:F4"/>
    <mergeCell ref="A6:F6"/>
  </mergeCells>
  <printOptions/>
  <pageMargins left="1" right="0" top="0.25" bottom="0" header="0.5" footer="0.5"/>
  <pageSetup fitToHeight="1" fitToWidth="1"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BH857"/>
  <sheetViews>
    <sheetView zoomScalePageLayoutView="0" workbookViewId="0" topLeftCell="A1">
      <pane xSplit="4" ySplit="8" topLeftCell="E59" activePane="bottomRight" state="frozen"/>
      <selection pane="topLeft" activeCell="A1" sqref="A1"/>
      <selection pane="topRight" activeCell="E1" sqref="E1"/>
      <selection pane="bottomLeft" activeCell="A9" sqref="A9"/>
      <selection pane="bottomRight" activeCell="D76" sqref="D76"/>
    </sheetView>
  </sheetViews>
  <sheetFormatPr defaultColWidth="9.140625" defaultRowHeight="12.75"/>
  <cols>
    <col min="1" max="1" width="6.28125" style="139" customWidth="1"/>
    <col min="2" max="2" width="34.28125" style="139" customWidth="1"/>
    <col min="3" max="3" width="1.8515625" style="161" customWidth="1"/>
    <col min="4" max="4" width="14.8515625" style="161" bestFit="1" customWidth="1"/>
    <col min="5" max="5" width="12.00390625" style="141" bestFit="1" customWidth="1"/>
    <col min="6" max="6" width="12.8515625" style="161" bestFit="1" customWidth="1"/>
    <col min="7" max="7" width="12.28125" style="161" bestFit="1" customWidth="1"/>
    <col min="8" max="8" width="12.140625" style="161" customWidth="1"/>
    <col min="9" max="9" width="11.8515625" style="161" bestFit="1" customWidth="1"/>
    <col min="10" max="10" width="12.140625" style="143" bestFit="1" customWidth="1"/>
    <col min="11" max="11" width="13.7109375" style="143" customWidth="1"/>
    <col min="12" max="12" width="13.421875" style="143" customWidth="1"/>
    <col min="13" max="13" width="14.421875" style="143" bestFit="1" customWidth="1"/>
    <col min="14" max="14" width="13.00390625" style="143" bestFit="1" customWidth="1"/>
    <col min="15" max="15" width="11.7109375" style="143" bestFit="1" customWidth="1"/>
    <col min="16" max="16" width="12.28125" style="143" bestFit="1" customWidth="1"/>
    <col min="17" max="17" width="12.28125" style="161" bestFit="1" customWidth="1"/>
    <col min="18" max="18" width="12.140625" style="161" customWidth="1"/>
    <col min="19" max="20" width="13.140625" style="161" customWidth="1"/>
    <col min="21" max="21" width="12.28125" style="161" bestFit="1" customWidth="1"/>
    <col min="22" max="22" width="11.7109375" style="161" bestFit="1" customWidth="1"/>
    <col min="23" max="23" width="13.421875" style="161" bestFit="1" customWidth="1"/>
    <col min="24" max="24" width="10.57421875" style="161" bestFit="1" customWidth="1"/>
    <col min="25" max="25" width="13.00390625" style="141" bestFit="1" customWidth="1"/>
    <col min="26" max="16384" width="9.140625" style="139" customWidth="1"/>
  </cols>
  <sheetData>
    <row r="1" spans="1:25" s="145" customFormat="1" ht="13.5">
      <c r="A1" s="137" t="s">
        <v>71</v>
      </c>
      <c r="B1" s="138"/>
      <c r="C1" s="139"/>
      <c r="D1" s="140"/>
      <c r="E1" s="141"/>
      <c r="F1" s="142"/>
      <c r="G1" s="142"/>
      <c r="H1" s="142"/>
      <c r="I1" s="142"/>
      <c r="J1" s="143"/>
      <c r="K1" s="143"/>
      <c r="L1" s="143"/>
      <c r="M1" s="143"/>
      <c r="N1" s="142"/>
      <c r="O1" s="142"/>
      <c r="P1" s="142"/>
      <c r="Q1" s="142"/>
      <c r="R1" s="142"/>
      <c r="S1" s="144"/>
      <c r="T1" s="144"/>
      <c r="U1" s="142"/>
      <c r="V1" s="142"/>
      <c r="W1" s="142"/>
      <c r="X1" s="142"/>
      <c r="Y1" s="141"/>
    </row>
    <row r="2" spans="1:25" s="145" customFormat="1" ht="12.75">
      <c r="A2" s="146" t="s">
        <v>503</v>
      </c>
      <c r="B2" s="146"/>
      <c r="C2" s="146"/>
      <c r="D2" s="140"/>
      <c r="E2" s="141"/>
      <c r="F2" s="142"/>
      <c r="G2" s="142"/>
      <c r="H2" s="142"/>
      <c r="I2" s="142"/>
      <c r="J2" s="143"/>
      <c r="K2" s="143"/>
      <c r="L2" s="143"/>
      <c r="M2" s="143"/>
      <c r="N2" s="142"/>
      <c r="O2" s="142"/>
      <c r="P2" s="142"/>
      <c r="Q2" s="142"/>
      <c r="R2" s="142"/>
      <c r="S2" s="144"/>
      <c r="T2" s="144"/>
      <c r="U2" s="142"/>
      <c r="V2" s="142"/>
      <c r="W2" s="142"/>
      <c r="X2" s="142"/>
      <c r="Y2" s="141"/>
    </row>
    <row r="3" spans="4:25" s="147" customFormat="1" ht="12.75">
      <c r="D3" s="148"/>
      <c r="E3" s="149"/>
      <c r="F3" s="149" t="s">
        <v>265</v>
      </c>
      <c r="G3" s="149" t="s">
        <v>266</v>
      </c>
      <c r="H3" s="149" t="s">
        <v>408</v>
      </c>
      <c r="I3" s="149" t="s">
        <v>267</v>
      </c>
      <c r="J3" s="149" t="s">
        <v>409</v>
      </c>
      <c r="K3" s="149" t="s">
        <v>268</v>
      </c>
      <c r="L3" s="149" t="s">
        <v>269</v>
      </c>
      <c r="M3" s="149" t="s">
        <v>411</v>
      </c>
      <c r="N3" s="149" t="s">
        <v>270</v>
      </c>
      <c r="O3" s="149" t="s">
        <v>271</v>
      </c>
      <c r="P3" s="149" t="s">
        <v>268</v>
      </c>
      <c r="Q3" s="149" t="s">
        <v>269</v>
      </c>
      <c r="R3" s="149" t="s">
        <v>413</v>
      </c>
      <c r="S3" s="150" t="s">
        <v>272</v>
      </c>
      <c r="T3" s="150" t="s">
        <v>414</v>
      </c>
      <c r="U3" s="149" t="s">
        <v>65</v>
      </c>
      <c r="V3" s="149" t="s">
        <v>273</v>
      </c>
      <c r="W3" s="149" t="s">
        <v>274</v>
      </c>
      <c r="X3" s="149" t="s">
        <v>275</v>
      </c>
      <c r="Y3" s="149" t="s">
        <v>48</v>
      </c>
    </row>
    <row r="4" spans="4:25" s="147" customFormat="1" ht="12.75">
      <c r="D4" s="148"/>
      <c r="E4" s="149"/>
      <c r="F4" s="149"/>
      <c r="G4" s="149"/>
      <c r="H4" s="149" t="s">
        <v>324</v>
      </c>
      <c r="I4" s="149"/>
      <c r="J4" s="149" t="s">
        <v>410</v>
      </c>
      <c r="K4" s="149" t="s">
        <v>276</v>
      </c>
      <c r="L4" s="149" t="s">
        <v>276</v>
      </c>
      <c r="M4" s="149" t="s">
        <v>266</v>
      </c>
      <c r="N4" s="149" t="s">
        <v>278</v>
      </c>
      <c r="O4" s="149" t="s">
        <v>279</v>
      </c>
      <c r="P4" s="149" t="s">
        <v>280</v>
      </c>
      <c r="Q4" s="149" t="s">
        <v>280</v>
      </c>
      <c r="R4" s="149" t="s">
        <v>151</v>
      </c>
      <c r="S4" s="150" t="s">
        <v>282</v>
      </c>
      <c r="T4" s="150" t="s">
        <v>415</v>
      </c>
      <c r="U4" s="149" t="s">
        <v>283</v>
      </c>
      <c r="V4" s="149" t="s">
        <v>284</v>
      </c>
      <c r="W4" s="149" t="s">
        <v>285</v>
      </c>
      <c r="X4" s="149" t="s">
        <v>103</v>
      </c>
      <c r="Y4" s="149" t="s">
        <v>286</v>
      </c>
    </row>
    <row r="5" spans="3:25" s="151" customFormat="1" ht="12.75">
      <c r="C5" s="152"/>
      <c r="D5" s="152"/>
      <c r="E5" s="153">
        <v>2005</v>
      </c>
      <c r="F5" s="152">
        <f>+'Balance Sheet'!I13</f>
        <v>1591294.43</v>
      </c>
      <c r="G5" s="152">
        <f>+'Balance Sheet'!I16</f>
        <v>200000</v>
      </c>
      <c r="H5" s="152">
        <f>+'Balance Sheet'!I17</f>
        <v>135000</v>
      </c>
      <c r="I5" s="152">
        <f>+'Balance Sheet'!I18</f>
        <v>1601774.4100000001</v>
      </c>
      <c r="J5" s="152">
        <f>+'Balance Sheet'!I21</f>
        <v>803525.85</v>
      </c>
      <c r="K5" s="152">
        <f>+'Balance Sheet'!I22</f>
        <v>653548.1799999999</v>
      </c>
      <c r="L5" s="152">
        <f>+'Balance Sheet'!I23</f>
        <v>570669.3399999999</v>
      </c>
      <c r="M5" s="152">
        <f>+'Balance Sheet'!I24</f>
        <v>19081067.18</v>
      </c>
      <c r="N5" s="152">
        <f>+'Balance Sheet'!I25</f>
        <v>1028149.22</v>
      </c>
      <c r="O5" s="152">
        <f>+'Balance Sheet'!I26</f>
        <v>1807174.63</v>
      </c>
      <c r="P5" s="152">
        <f>-'Balance Sheet'!I30</f>
        <v>-571477.78</v>
      </c>
      <c r="Q5" s="295">
        <f>-'Balance Sheet'!I31</f>
        <v>-673668.4100000001</v>
      </c>
      <c r="R5" s="152">
        <f>-'Balance Sheet'!I32</f>
        <v>-2823464</v>
      </c>
      <c r="S5" s="294">
        <f>-'Balance Sheet'!I33</f>
        <v>-66006.08</v>
      </c>
      <c r="T5" s="152">
        <f>-'Balance Sheet'!I34</f>
        <v>-3741183.66</v>
      </c>
      <c r="U5" s="152">
        <f>-'Balance Sheet'!I43</f>
        <v>-9723226</v>
      </c>
      <c r="V5" s="152">
        <f>-'Balance Sheet'!I44</f>
        <v>-5564425.62</v>
      </c>
      <c r="W5" s="152">
        <f>-'Balance Sheet'!I45</f>
        <v>-4298751.659999999</v>
      </c>
      <c r="X5" s="152">
        <f>-'Balance Sheet'!I50</f>
        <v>-10000</v>
      </c>
      <c r="Y5" s="271">
        <f>SUM(F5:X5)</f>
        <v>0.029999999329447746</v>
      </c>
    </row>
    <row r="6" spans="4:25" s="154" customFormat="1" ht="12.75">
      <c r="D6" s="148"/>
      <c r="E6" s="155">
        <v>2004</v>
      </c>
      <c r="F6" s="152">
        <v>1351726.86</v>
      </c>
      <c r="G6" s="154">
        <v>200000</v>
      </c>
      <c r="H6" s="154">
        <v>90000</v>
      </c>
      <c r="I6" s="154">
        <v>1630897.864</v>
      </c>
      <c r="J6" s="154">
        <v>1518525.85</v>
      </c>
      <c r="K6" s="154">
        <v>5077604.74</v>
      </c>
      <c r="L6" s="154">
        <v>196159.73</v>
      </c>
      <c r="M6" s="154">
        <v>15554377.91</v>
      </c>
      <c r="N6" s="154">
        <v>2534534.72</v>
      </c>
      <c r="O6" s="154">
        <v>917666.78</v>
      </c>
      <c r="P6" s="154">
        <v>-524924.86</v>
      </c>
      <c r="Q6" s="154">
        <v>-229972.29</v>
      </c>
      <c r="R6" s="154">
        <v>-4123464</v>
      </c>
      <c r="S6" s="154">
        <v>-137761.87</v>
      </c>
      <c r="T6" s="154">
        <v>-5267572.26</v>
      </c>
      <c r="U6" s="154">
        <v>-9723226</v>
      </c>
      <c r="V6" s="154">
        <v>-5565725.62</v>
      </c>
      <c r="W6" s="154">
        <v>-3488847.3740000012</v>
      </c>
      <c r="X6" s="154">
        <v>-10000</v>
      </c>
      <c r="Y6" s="149">
        <v>0.18000000109896064</v>
      </c>
    </row>
    <row r="7" spans="4:25" s="154" customFormat="1" ht="12.75">
      <c r="D7" s="148"/>
      <c r="E7" s="149"/>
      <c r="F7" s="148"/>
      <c r="G7" s="148"/>
      <c r="H7" s="148"/>
      <c r="I7" s="148"/>
      <c r="J7" s="156"/>
      <c r="K7" s="156"/>
      <c r="L7" s="156"/>
      <c r="M7" s="156"/>
      <c r="N7" s="148"/>
      <c r="O7" s="148"/>
      <c r="P7" s="148"/>
      <c r="Q7" s="148"/>
      <c r="R7" s="148"/>
      <c r="S7" s="157"/>
      <c r="T7" s="157"/>
      <c r="U7" s="148"/>
      <c r="V7" s="148"/>
      <c r="W7" s="148"/>
      <c r="X7" s="148"/>
      <c r="Y7" s="149"/>
    </row>
    <row r="8" spans="4:60" s="158" customFormat="1" ht="12.75">
      <c r="D8" s="140"/>
      <c r="E8" s="141"/>
      <c r="F8" s="332">
        <f>SUM(F5-F6)</f>
        <v>239567.56999999983</v>
      </c>
      <c r="G8" s="332">
        <f aca="true" t="shared" si="0" ref="G8:X8">SUM(G5-G6)</f>
        <v>0</v>
      </c>
      <c r="H8" s="332">
        <f t="shared" si="0"/>
        <v>45000</v>
      </c>
      <c r="I8" s="332">
        <f t="shared" si="0"/>
        <v>-29123.45399999991</v>
      </c>
      <c r="J8" s="332">
        <f t="shared" si="0"/>
        <v>-715000.0000000001</v>
      </c>
      <c r="K8" s="332">
        <f t="shared" si="0"/>
        <v>-4424056.5600000005</v>
      </c>
      <c r="L8" s="332">
        <f t="shared" si="0"/>
        <v>374509.60999999987</v>
      </c>
      <c r="M8" s="332">
        <f t="shared" si="0"/>
        <v>3526689.2699999996</v>
      </c>
      <c r="N8" s="332">
        <f t="shared" si="0"/>
        <v>-1506385.5000000002</v>
      </c>
      <c r="O8" s="332">
        <f t="shared" si="0"/>
        <v>889507.8499999999</v>
      </c>
      <c r="P8" s="332">
        <f t="shared" si="0"/>
        <v>-46552.92000000004</v>
      </c>
      <c r="Q8" s="332">
        <f t="shared" si="0"/>
        <v>-443696.1200000001</v>
      </c>
      <c r="R8" s="332">
        <f t="shared" si="0"/>
        <v>1300000</v>
      </c>
      <c r="S8" s="332">
        <f t="shared" si="0"/>
        <v>71755.79</v>
      </c>
      <c r="T8" s="332">
        <f t="shared" si="0"/>
        <v>1526388.5999999996</v>
      </c>
      <c r="U8" s="332">
        <f t="shared" si="0"/>
        <v>0</v>
      </c>
      <c r="V8" s="332">
        <f t="shared" si="0"/>
        <v>1300</v>
      </c>
      <c r="W8" s="332">
        <f t="shared" si="0"/>
        <v>-809904.285999998</v>
      </c>
      <c r="X8" s="332">
        <f t="shared" si="0"/>
        <v>0</v>
      </c>
      <c r="Y8" s="332">
        <f>SUM(Y5-Y6)</f>
        <v>-0.1500000017695129</v>
      </c>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row>
    <row r="9" spans="4:60" s="158" customFormat="1" ht="12.75">
      <c r="D9" s="159" t="s">
        <v>4</v>
      </c>
      <c r="E9" s="141"/>
      <c r="F9" s="335"/>
      <c r="G9" s="335"/>
      <c r="H9" s="335"/>
      <c r="I9" s="335"/>
      <c r="J9" s="335"/>
      <c r="K9" s="335"/>
      <c r="L9" s="335"/>
      <c r="M9" s="335"/>
      <c r="N9" s="335"/>
      <c r="O9" s="335"/>
      <c r="P9" s="335"/>
      <c r="Q9" s="335"/>
      <c r="R9" s="335"/>
      <c r="S9" s="336"/>
      <c r="T9" s="336"/>
      <c r="U9" s="335"/>
      <c r="V9" s="335"/>
      <c r="W9" s="335"/>
      <c r="X9" s="335"/>
      <c r="Y9" s="337"/>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row>
    <row r="10" spans="1:60" s="145" customFormat="1" ht="12.75">
      <c r="A10" s="146" t="s">
        <v>287</v>
      </c>
      <c r="D10" s="140"/>
      <c r="E10" s="141"/>
      <c r="F10" s="335"/>
      <c r="G10" s="335"/>
      <c r="H10" s="335"/>
      <c r="I10" s="335"/>
      <c r="J10" s="338"/>
      <c r="K10" s="338"/>
      <c r="L10" s="338"/>
      <c r="M10" s="338"/>
      <c r="N10" s="335"/>
      <c r="O10" s="335"/>
      <c r="P10" s="335"/>
      <c r="Q10" s="335"/>
      <c r="R10" s="335"/>
      <c r="S10" s="336"/>
      <c r="T10" s="336"/>
      <c r="U10" s="335"/>
      <c r="V10" s="335"/>
      <c r="W10" s="335"/>
      <c r="X10" s="335"/>
      <c r="Y10" s="337"/>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row>
    <row r="11" spans="4:60" s="145" customFormat="1" ht="12.75">
      <c r="D11" s="140"/>
      <c r="E11" s="141"/>
      <c r="F11" s="335"/>
      <c r="G11" s="335"/>
      <c r="H11" s="335"/>
      <c r="I11" s="340"/>
      <c r="J11" s="338"/>
      <c r="K11" s="338"/>
      <c r="L11" s="338"/>
      <c r="M11" s="338"/>
      <c r="N11" s="335"/>
      <c r="O11" s="335"/>
      <c r="P11" s="335"/>
      <c r="Q11" s="335"/>
      <c r="R11" s="335"/>
      <c r="S11" s="336"/>
      <c r="T11" s="336"/>
      <c r="U11" s="335"/>
      <c r="V11" s="335"/>
      <c r="W11" s="335"/>
      <c r="X11" s="335"/>
      <c r="Y11" s="337"/>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row>
    <row r="12" spans="1:60" s="145" customFormat="1" ht="12.75">
      <c r="A12" s="139"/>
      <c r="B12" s="145" t="s">
        <v>288</v>
      </c>
      <c r="D12" s="140">
        <f>SUM(F12:X12)</f>
        <v>903720.92</v>
      </c>
      <c r="E12" s="141"/>
      <c r="F12" s="335"/>
      <c r="G12" s="335"/>
      <c r="H12" s="335"/>
      <c r="I12" s="335"/>
      <c r="J12" s="335"/>
      <c r="K12" s="335"/>
      <c r="L12" s="335"/>
      <c r="M12" s="335"/>
      <c r="N12" s="335"/>
      <c r="O12" s="335"/>
      <c r="P12" s="335"/>
      <c r="Q12" s="335"/>
      <c r="R12" s="335"/>
      <c r="S12" s="336">
        <f>-PL!J37</f>
        <v>93816.6292</v>
      </c>
      <c r="T12" s="336"/>
      <c r="U12" s="335"/>
      <c r="V12" s="335"/>
      <c r="W12" s="335">
        <f>+PL!J39-0.27</f>
        <v>809904.2908000001</v>
      </c>
      <c r="X12" s="335"/>
      <c r="Y12" s="337">
        <f aca="true" t="shared" si="1" ref="Y12:Y56">D12-SUM(F12:X12)</f>
        <v>0</v>
      </c>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row>
    <row r="13" spans="1:60" s="145" customFormat="1" ht="12.75">
      <c r="A13" s="160" t="s">
        <v>289</v>
      </c>
      <c r="D13" s="140"/>
      <c r="E13" s="141"/>
      <c r="F13" s="335"/>
      <c r="G13" s="335"/>
      <c r="H13" s="335"/>
      <c r="I13" s="335"/>
      <c r="J13" s="341"/>
      <c r="K13" s="341"/>
      <c r="L13" s="341"/>
      <c r="M13" s="341"/>
      <c r="N13" s="335"/>
      <c r="O13" s="335"/>
      <c r="P13" s="335"/>
      <c r="Q13" s="335"/>
      <c r="R13" s="335"/>
      <c r="S13" s="336"/>
      <c r="T13" s="336"/>
      <c r="U13" s="335"/>
      <c r="V13" s="335"/>
      <c r="W13" s="335"/>
      <c r="X13" s="335"/>
      <c r="Y13" s="337">
        <f t="shared" si="1"/>
        <v>0</v>
      </c>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39"/>
    </row>
    <row r="14" spans="1:60" s="145" customFormat="1" ht="12.75">
      <c r="A14" s="160"/>
      <c r="B14" s="145" t="s">
        <v>290</v>
      </c>
      <c r="D14" s="140">
        <f aca="true" t="shared" si="2" ref="D14:D24">SUM(F14:X14)</f>
        <v>0</v>
      </c>
      <c r="E14" s="141"/>
      <c r="F14" s="335"/>
      <c r="G14" s="335"/>
      <c r="H14" s="335"/>
      <c r="I14" s="335"/>
      <c r="J14" s="341"/>
      <c r="K14" s="341"/>
      <c r="L14" s="341"/>
      <c r="M14" s="341"/>
      <c r="N14" s="335"/>
      <c r="O14" s="335"/>
      <c r="P14" s="335"/>
      <c r="Q14" s="335"/>
      <c r="R14" s="335"/>
      <c r="S14" s="336"/>
      <c r="T14" s="336"/>
      <c r="U14" s="335"/>
      <c r="V14" s="335"/>
      <c r="W14" s="335"/>
      <c r="X14" s="335"/>
      <c r="Y14" s="337">
        <f t="shared" si="1"/>
        <v>0</v>
      </c>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row>
    <row r="15" spans="1:60" s="145" customFormat="1" ht="12.75">
      <c r="A15" s="160"/>
      <c r="B15" s="145" t="s">
        <v>291</v>
      </c>
      <c r="D15" s="140">
        <f t="shared" si="2"/>
        <v>0</v>
      </c>
      <c r="E15" s="141"/>
      <c r="F15" s="335"/>
      <c r="G15" s="335"/>
      <c r="H15" s="335"/>
      <c r="I15" s="335"/>
      <c r="J15" s="341"/>
      <c r="K15" s="341"/>
      <c r="L15" s="341"/>
      <c r="M15" s="341"/>
      <c r="N15" s="335"/>
      <c r="O15" s="335"/>
      <c r="P15" s="335"/>
      <c r="Q15" s="335"/>
      <c r="R15" s="335"/>
      <c r="S15" s="336"/>
      <c r="T15" s="336"/>
      <c r="U15" s="335"/>
      <c r="V15" s="335"/>
      <c r="W15" s="335"/>
      <c r="X15" s="335"/>
      <c r="Y15" s="337">
        <f t="shared" si="1"/>
        <v>0</v>
      </c>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row>
    <row r="16" spans="1:60" s="145" customFormat="1" ht="12.75">
      <c r="A16" s="160"/>
      <c r="B16" s="145" t="s">
        <v>292</v>
      </c>
      <c r="D16" s="140">
        <f t="shared" si="2"/>
        <v>0</v>
      </c>
      <c r="E16" s="141"/>
      <c r="F16" s="335"/>
      <c r="G16" s="335"/>
      <c r="H16" s="335"/>
      <c r="I16" s="335"/>
      <c r="J16" s="341"/>
      <c r="K16" s="341"/>
      <c r="L16" s="341"/>
      <c r="M16" s="341"/>
      <c r="N16" s="335"/>
      <c r="O16" s="335"/>
      <c r="P16" s="335"/>
      <c r="Q16" s="335"/>
      <c r="R16" s="335"/>
      <c r="S16" s="336"/>
      <c r="T16" s="336"/>
      <c r="U16" s="335"/>
      <c r="V16" s="335"/>
      <c r="W16" s="335"/>
      <c r="X16" s="335"/>
      <c r="Y16" s="337">
        <f t="shared" si="1"/>
        <v>0</v>
      </c>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row>
    <row r="17" spans="1:60" s="145" customFormat="1" ht="12.75">
      <c r="A17" s="160"/>
      <c r="B17" s="145" t="s">
        <v>70</v>
      </c>
      <c r="D17" s="140">
        <f t="shared" si="2"/>
        <v>35984.33</v>
      </c>
      <c r="E17" s="141"/>
      <c r="F17" s="335">
        <f>-PL!J29</f>
        <v>35984.33</v>
      </c>
      <c r="G17" s="335"/>
      <c r="H17" s="335"/>
      <c r="I17" s="335"/>
      <c r="J17" s="341"/>
      <c r="K17" s="341"/>
      <c r="L17" s="341"/>
      <c r="M17" s="341"/>
      <c r="N17" s="335"/>
      <c r="O17" s="335"/>
      <c r="P17" s="335"/>
      <c r="Q17" s="335"/>
      <c r="R17" s="335"/>
      <c r="S17" s="336"/>
      <c r="T17" s="336"/>
      <c r="U17" s="335"/>
      <c r="V17" s="335"/>
      <c r="W17" s="335"/>
      <c r="X17" s="335"/>
      <c r="Y17" s="337">
        <f t="shared" si="1"/>
        <v>0</v>
      </c>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row>
    <row r="18" spans="1:60" s="145" customFormat="1" ht="12.75">
      <c r="A18" s="160"/>
      <c r="B18" s="145" t="s">
        <v>158</v>
      </c>
      <c r="D18" s="140">
        <f t="shared" si="2"/>
        <v>29123.45</v>
      </c>
      <c r="E18" s="141"/>
      <c r="F18" s="335"/>
      <c r="G18" s="335"/>
      <c r="H18" s="335"/>
      <c r="I18" s="335">
        <f>-PL!J31+0.27</f>
        <v>29123.45</v>
      </c>
      <c r="J18" s="341"/>
      <c r="K18" s="341"/>
      <c r="L18" s="341"/>
      <c r="M18" s="341"/>
      <c r="N18" s="335"/>
      <c r="O18" s="335"/>
      <c r="P18" s="335"/>
      <c r="Q18" s="335"/>
      <c r="R18" s="335"/>
      <c r="S18" s="336"/>
      <c r="T18" s="336"/>
      <c r="U18" s="335"/>
      <c r="V18" s="335"/>
      <c r="W18" s="335"/>
      <c r="X18" s="335"/>
      <c r="Y18" s="337">
        <f t="shared" si="1"/>
        <v>0</v>
      </c>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row>
    <row r="19" spans="1:60" s="145" customFormat="1" ht="12.75">
      <c r="A19" s="160"/>
      <c r="B19" s="145" t="s">
        <v>293</v>
      </c>
      <c r="D19" s="140">
        <f t="shared" si="2"/>
        <v>0</v>
      </c>
      <c r="E19" s="141"/>
      <c r="F19" s="335"/>
      <c r="G19" s="335"/>
      <c r="H19" s="335"/>
      <c r="I19" s="335"/>
      <c r="J19" s="341"/>
      <c r="K19" s="341"/>
      <c r="L19" s="341"/>
      <c r="M19" s="341"/>
      <c r="N19" s="335"/>
      <c r="O19" s="335"/>
      <c r="P19" s="335"/>
      <c r="Q19" s="335"/>
      <c r="R19" s="335"/>
      <c r="S19" s="336"/>
      <c r="T19" s="336"/>
      <c r="U19" s="335"/>
      <c r="V19" s="335"/>
      <c r="W19" s="335"/>
      <c r="X19" s="335"/>
      <c r="Y19" s="337">
        <f t="shared" si="1"/>
        <v>0</v>
      </c>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row>
    <row r="20" spans="1:60" s="145" customFormat="1" ht="12.75">
      <c r="A20" s="160"/>
      <c r="B20" s="145" t="s">
        <v>294</v>
      </c>
      <c r="D20" s="140">
        <f t="shared" si="2"/>
        <v>0</v>
      </c>
      <c r="E20" s="141"/>
      <c r="F20" s="335"/>
      <c r="G20" s="335"/>
      <c r="H20" s="335"/>
      <c r="I20" s="335"/>
      <c r="J20" s="341"/>
      <c r="K20" s="341"/>
      <c r="L20" s="341"/>
      <c r="M20" s="341"/>
      <c r="N20" s="335"/>
      <c r="O20" s="335"/>
      <c r="P20" s="335"/>
      <c r="Q20" s="335"/>
      <c r="R20" s="335"/>
      <c r="S20" s="336"/>
      <c r="T20" s="336"/>
      <c r="U20" s="335"/>
      <c r="V20" s="335"/>
      <c r="W20" s="335"/>
      <c r="X20" s="335"/>
      <c r="Y20" s="337">
        <f t="shared" si="1"/>
        <v>0</v>
      </c>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row>
    <row r="21" spans="1:60" s="145" customFormat="1" ht="12.75">
      <c r="A21" s="160"/>
      <c r="B21" s="145" t="s">
        <v>295</v>
      </c>
      <c r="D21" s="140">
        <f t="shared" si="2"/>
        <v>0</v>
      </c>
      <c r="E21" s="141"/>
      <c r="F21" s="335"/>
      <c r="G21" s="335"/>
      <c r="H21" s="335"/>
      <c r="I21" s="335"/>
      <c r="J21" s="341"/>
      <c r="K21" s="341"/>
      <c r="L21" s="341"/>
      <c r="M21" s="341"/>
      <c r="N21" s="335"/>
      <c r="O21" s="335"/>
      <c r="P21" s="335"/>
      <c r="Q21" s="335"/>
      <c r="R21" s="335"/>
      <c r="S21" s="336"/>
      <c r="T21" s="336"/>
      <c r="U21" s="335"/>
      <c r="V21" s="335"/>
      <c r="W21" s="335"/>
      <c r="X21" s="335"/>
      <c r="Y21" s="337">
        <f t="shared" si="1"/>
        <v>0</v>
      </c>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row>
    <row r="22" spans="2:60" s="145" customFormat="1" ht="12.75">
      <c r="B22" s="145" t="s">
        <v>296</v>
      </c>
      <c r="D22" s="140">
        <f t="shared" si="2"/>
        <v>0</v>
      </c>
      <c r="E22" s="141"/>
      <c r="F22" s="335"/>
      <c r="G22" s="335"/>
      <c r="H22" s="335"/>
      <c r="I22" s="335"/>
      <c r="J22" s="341"/>
      <c r="K22" s="341"/>
      <c r="L22" s="341"/>
      <c r="M22" s="341"/>
      <c r="N22" s="335"/>
      <c r="O22" s="335"/>
      <c r="P22" s="335"/>
      <c r="Q22" s="335"/>
      <c r="R22" s="335"/>
      <c r="S22" s="335"/>
      <c r="T22" s="335"/>
      <c r="U22" s="342"/>
      <c r="V22" s="342"/>
      <c r="W22" s="342"/>
      <c r="X22" s="335"/>
      <c r="Y22" s="337">
        <f t="shared" si="1"/>
        <v>0</v>
      </c>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row>
    <row r="23" spans="2:60" s="145" customFormat="1" ht="12.75">
      <c r="B23" s="145" t="s">
        <v>297</v>
      </c>
      <c r="D23" s="140">
        <f t="shared" si="2"/>
        <v>-90671.32</v>
      </c>
      <c r="E23" s="141"/>
      <c r="F23" s="335"/>
      <c r="G23" s="335"/>
      <c r="H23" s="335"/>
      <c r="I23" s="335"/>
      <c r="J23" s="341"/>
      <c r="K23" s="341"/>
      <c r="L23" s="341"/>
      <c r="M23" s="341">
        <f>-2552.61-8234.56-7477.73-8423.98-11611.02-11371.71-10559.39-11605.69-2955.87-9430.54</f>
        <v>-84223.1</v>
      </c>
      <c r="N23" s="335">
        <v>-6448.22</v>
      </c>
      <c r="O23" s="335"/>
      <c r="P23" s="335"/>
      <c r="Q23" s="335"/>
      <c r="R23" s="335"/>
      <c r="S23" s="335"/>
      <c r="T23" s="335"/>
      <c r="U23" s="342"/>
      <c r="V23" s="342"/>
      <c r="W23" s="342"/>
      <c r="X23" s="335"/>
      <c r="Y23" s="337">
        <f t="shared" si="1"/>
        <v>0</v>
      </c>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row>
    <row r="24" spans="2:60" s="145" customFormat="1" ht="12.75">
      <c r="B24" s="145" t="s">
        <v>298</v>
      </c>
      <c r="D24" s="140">
        <f t="shared" si="2"/>
        <v>0</v>
      </c>
      <c r="E24" s="141"/>
      <c r="F24" s="335"/>
      <c r="G24" s="335"/>
      <c r="H24" s="335"/>
      <c r="I24" s="335"/>
      <c r="J24" s="341"/>
      <c r="K24" s="341"/>
      <c r="L24" s="341"/>
      <c r="M24" s="341"/>
      <c r="N24" s="335"/>
      <c r="O24" s="335"/>
      <c r="P24" s="335"/>
      <c r="Q24" s="335"/>
      <c r="R24" s="335"/>
      <c r="S24" s="335"/>
      <c r="T24" s="335"/>
      <c r="U24" s="342"/>
      <c r="V24" s="342"/>
      <c r="W24" s="342"/>
      <c r="X24" s="335"/>
      <c r="Y24" s="337">
        <f t="shared" si="1"/>
        <v>0</v>
      </c>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row>
    <row r="25" spans="4:60" s="145" customFormat="1" ht="12.75">
      <c r="D25" s="140"/>
      <c r="E25" s="141"/>
      <c r="F25" s="335"/>
      <c r="G25" s="335"/>
      <c r="H25" s="335"/>
      <c r="I25" s="335"/>
      <c r="J25" s="341"/>
      <c r="K25" s="341"/>
      <c r="L25" s="341"/>
      <c r="M25" s="341"/>
      <c r="N25" s="335"/>
      <c r="O25" s="335"/>
      <c r="P25" s="335"/>
      <c r="Q25" s="335"/>
      <c r="R25" s="335"/>
      <c r="S25" s="336"/>
      <c r="T25" s="336"/>
      <c r="U25" s="335"/>
      <c r="V25" s="335"/>
      <c r="W25" s="335"/>
      <c r="X25" s="335"/>
      <c r="Y25" s="337">
        <f t="shared" si="1"/>
        <v>0</v>
      </c>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row>
    <row r="26" spans="1:60" s="145" customFormat="1" ht="12.75">
      <c r="A26" s="160" t="s">
        <v>299</v>
      </c>
      <c r="D26" s="162">
        <f>SUM(D12:D25)</f>
        <v>878157.3799999999</v>
      </c>
      <c r="E26" s="141"/>
      <c r="F26" s="335"/>
      <c r="G26" s="335"/>
      <c r="H26" s="335"/>
      <c r="I26" s="335"/>
      <c r="J26" s="341"/>
      <c r="K26" s="341"/>
      <c r="L26" s="341"/>
      <c r="M26" s="341"/>
      <c r="N26" s="335"/>
      <c r="O26" s="335"/>
      <c r="P26" s="335"/>
      <c r="Q26" s="335"/>
      <c r="R26" s="335"/>
      <c r="S26" s="336"/>
      <c r="T26" s="336"/>
      <c r="U26" s="335"/>
      <c r="V26" s="335"/>
      <c r="W26" s="335"/>
      <c r="X26" s="335"/>
      <c r="Y26" s="337"/>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row>
    <row r="27" spans="2:60" s="145" customFormat="1" ht="12.75">
      <c r="B27" s="145" t="s">
        <v>412</v>
      </c>
      <c r="D27" s="140">
        <f aca="true" t="shared" si="3" ref="D27:D32">SUM(F27:X27)</f>
        <v>715000</v>
      </c>
      <c r="E27" s="141"/>
      <c r="F27" s="342"/>
      <c r="G27" s="335"/>
      <c r="H27" s="335"/>
      <c r="I27" s="335"/>
      <c r="J27" s="341">
        <v>715000</v>
      </c>
      <c r="K27" s="341"/>
      <c r="L27" s="341"/>
      <c r="M27" s="341"/>
      <c r="N27" s="335"/>
      <c r="O27" s="335"/>
      <c r="P27" s="335"/>
      <c r="Q27" s="335"/>
      <c r="R27" s="335"/>
      <c r="S27" s="336"/>
      <c r="T27" s="336"/>
      <c r="U27" s="342"/>
      <c r="V27" s="342"/>
      <c r="W27" s="342"/>
      <c r="X27" s="342"/>
      <c r="Y27" s="337">
        <f t="shared" si="1"/>
        <v>0</v>
      </c>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row>
    <row r="28" spans="2:60" s="145" customFormat="1" ht="12.75">
      <c r="B28" s="145" t="s">
        <v>276</v>
      </c>
      <c r="D28" s="140">
        <f t="shared" si="3"/>
        <v>4049546.9500000007</v>
      </c>
      <c r="E28" s="141"/>
      <c r="F28" s="342"/>
      <c r="G28" s="335"/>
      <c r="H28" s="335"/>
      <c r="I28" s="335"/>
      <c r="J28" s="341"/>
      <c r="K28" s="341">
        <f>-K8</f>
        <v>4424056.5600000005</v>
      </c>
      <c r="L28" s="341">
        <v>-374509.61</v>
      </c>
      <c r="M28" s="341"/>
      <c r="N28" s="335"/>
      <c r="O28" s="335"/>
      <c r="P28" s="335"/>
      <c r="Q28" s="335"/>
      <c r="R28" s="335"/>
      <c r="S28" s="336"/>
      <c r="T28" s="336"/>
      <c r="U28" s="342"/>
      <c r="V28" s="342"/>
      <c r="W28" s="342"/>
      <c r="X28" s="342"/>
      <c r="Y28" s="337">
        <f t="shared" si="1"/>
        <v>0</v>
      </c>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row>
    <row r="29" spans="2:60" s="145" customFormat="1" ht="12.75">
      <c r="B29" s="145" t="s">
        <v>300</v>
      </c>
      <c r="D29" s="140">
        <f t="shared" si="3"/>
        <v>-2336139.5599999996</v>
      </c>
      <c r="E29" s="141"/>
      <c r="F29" s="342"/>
      <c r="G29" s="335"/>
      <c r="H29" s="335"/>
      <c r="I29" s="335"/>
      <c r="J29" s="337"/>
      <c r="K29" s="339"/>
      <c r="L29" s="337"/>
      <c r="M29" s="337"/>
      <c r="N29" s="335"/>
      <c r="O29" s="335"/>
      <c r="P29" s="335">
        <v>46552.92</v>
      </c>
      <c r="Q29" s="335">
        <v>443696.12</v>
      </c>
      <c r="R29" s="335">
        <f>-R8</f>
        <v>-1300000</v>
      </c>
      <c r="S29" s="336"/>
      <c r="T29" s="336">
        <f>-T8</f>
        <v>-1526388.5999999996</v>
      </c>
      <c r="U29" s="342"/>
      <c r="V29" s="342"/>
      <c r="W29" s="342"/>
      <c r="X29" s="342"/>
      <c r="Y29" s="337">
        <f t="shared" si="1"/>
        <v>0</v>
      </c>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row>
    <row r="30" spans="2:60" s="145" customFormat="1" ht="12.75">
      <c r="B30" s="145" t="s">
        <v>281</v>
      </c>
      <c r="D30" s="140">
        <f t="shared" si="3"/>
        <v>0</v>
      </c>
      <c r="E30" s="141"/>
      <c r="F30" s="342"/>
      <c r="G30" s="335"/>
      <c r="H30" s="335"/>
      <c r="I30" s="335"/>
      <c r="J30" s="337"/>
      <c r="K30" s="337"/>
      <c r="L30" s="337"/>
      <c r="M30" s="337"/>
      <c r="N30" s="335"/>
      <c r="O30" s="335"/>
      <c r="P30" s="335"/>
      <c r="Q30" s="335"/>
      <c r="R30" s="335"/>
      <c r="S30" s="336"/>
      <c r="T30" s="336"/>
      <c r="U30" s="342"/>
      <c r="V30" s="342"/>
      <c r="W30" s="342"/>
      <c r="X30" s="342"/>
      <c r="Y30" s="337">
        <f t="shared" si="1"/>
        <v>0</v>
      </c>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row>
    <row r="31" spans="2:60" s="145" customFormat="1" ht="12.75">
      <c r="B31" s="145" t="s">
        <v>277</v>
      </c>
      <c r="D31" s="140">
        <f t="shared" si="3"/>
        <v>0</v>
      </c>
      <c r="E31" s="141"/>
      <c r="F31" s="342"/>
      <c r="G31" s="335"/>
      <c r="H31" s="335"/>
      <c r="I31" s="335"/>
      <c r="J31" s="341"/>
      <c r="K31" s="341"/>
      <c r="L31" s="341"/>
      <c r="M31" s="341"/>
      <c r="N31" s="335"/>
      <c r="O31" s="335"/>
      <c r="P31" s="335"/>
      <c r="Q31" s="335"/>
      <c r="R31" s="335"/>
      <c r="S31" s="336"/>
      <c r="T31" s="336"/>
      <c r="U31" s="342"/>
      <c r="V31" s="342"/>
      <c r="W31" s="342"/>
      <c r="X31" s="342"/>
      <c r="Y31" s="337">
        <f t="shared" si="1"/>
        <v>0</v>
      </c>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row>
    <row r="32" spans="2:60" s="145" customFormat="1" ht="12.75">
      <c r="B32" s="145" t="s">
        <v>301</v>
      </c>
      <c r="D32" s="140">
        <f t="shared" si="3"/>
        <v>0</v>
      </c>
      <c r="E32" s="141"/>
      <c r="F32" s="342"/>
      <c r="G32" s="335"/>
      <c r="H32" s="335"/>
      <c r="I32" s="335"/>
      <c r="J32" s="341"/>
      <c r="K32" s="341"/>
      <c r="L32" s="341"/>
      <c r="M32" s="341"/>
      <c r="N32" s="335"/>
      <c r="O32" s="335"/>
      <c r="P32" s="335"/>
      <c r="Q32" s="335"/>
      <c r="R32" s="335"/>
      <c r="S32" s="336"/>
      <c r="T32" s="336"/>
      <c r="U32" s="342"/>
      <c r="V32" s="342"/>
      <c r="W32" s="342"/>
      <c r="X32" s="342"/>
      <c r="Y32" s="337">
        <f t="shared" si="1"/>
        <v>0</v>
      </c>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row>
    <row r="33" spans="4:60" s="145" customFormat="1" ht="12.75">
      <c r="D33" s="140"/>
      <c r="E33" s="141"/>
      <c r="F33" s="342"/>
      <c r="G33" s="335"/>
      <c r="H33" s="335"/>
      <c r="I33" s="335"/>
      <c r="J33" s="341"/>
      <c r="K33" s="341"/>
      <c r="L33" s="341"/>
      <c r="M33" s="341"/>
      <c r="N33" s="335"/>
      <c r="O33" s="335"/>
      <c r="P33" s="335"/>
      <c r="Q33" s="335"/>
      <c r="R33" s="335"/>
      <c r="S33" s="336"/>
      <c r="T33" s="336"/>
      <c r="U33" s="342"/>
      <c r="V33" s="342"/>
      <c r="W33" s="342"/>
      <c r="X33" s="342"/>
      <c r="Y33" s="337">
        <f t="shared" si="1"/>
        <v>0</v>
      </c>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row>
    <row r="34" spans="1:60" s="145" customFormat="1" ht="12.75">
      <c r="A34" s="160" t="s">
        <v>302</v>
      </c>
      <c r="D34" s="162">
        <f>SUM(D26:D33)</f>
        <v>3306564.7700000005</v>
      </c>
      <c r="E34" s="141"/>
      <c r="F34" s="342"/>
      <c r="G34" s="335"/>
      <c r="H34" s="335"/>
      <c r="I34" s="335"/>
      <c r="J34" s="341"/>
      <c r="K34" s="341"/>
      <c r="L34" s="341"/>
      <c r="M34" s="341"/>
      <c r="N34" s="335"/>
      <c r="O34" s="335"/>
      <c r="P34" s="335"/>
      <c r="Q34" s="335"/>
      <c r="R34" s="335"/>
      <c r="S34" s="336"/>
      <c r="T34" s="336"/>
      <c r="U34" s="342"/>
      <c r="V34" s="342"/>
      <c r="W34" s="342"/>
      <c r="X34" s="342"/>
      <c r="Y34" s="337"/>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row>
    <row r="35" spans="1:60" s="145" customFormat="1" ht="12.75">
      <c r="A35" s="160"/>
      <c r="B35" s="145" t="s">
        <v>303</v>
      </c>
      <c r="D35" s="140">
        <f>SUM(F35:X35)</f>
        <v>0</v>
      </c>
      <c r="E35" s="141"/>
      <c r="F35" s="342"/>
      <c r="G35" s="335"/>
      <c r="H35" s="335"/>
      <c r="I35" s="335"/>
      <c r="J35" s="341"/>
      <c r="K35" s="341"/>
      <c r="L35" s="341"/>
      <c r="M35" s="341"/>
      <c r="N35" s="335"/>
      <c r="O35" s="335"/>
      <c r="P35" s="335"/>
      <c r="Q35" s="335"/>
      <c r="R35" s="335"/>
      <c r="S35" s="336"/>
      <c r="T35" s="336"/>
      <c r="U35" s="342"/>
      <c r="V35" s="342"/>
      <c r="W35" s="342"/>
      <c r="X35" s="342"/>
      <c r="Y35" s="337">
        <f t="shared" si="1"/>
        <v>0</v>
      </c>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row>
    <row r="36" spans="1:60" s="145" customFormat="1" ht="12.75">
      <c r="A36" s="160"/>
      <c r="B36" s="145" t="s">
        <v>304</v>
      </c>
      <c r="D36" s="140">
        <f>SUM(F36:X36)</f>
        <v>90671.32</v>
      </c>
      <c r="E36" s="141"/>
      <c r="F36" s="342"/>
      <c r="G36" s="335"/>
      <c r="H36" s="335"/>
      <c r="I36" s="335"/>
      <c r="J36" s="341"/>
      <c r="K36" s="341"/>
      <c r="L36" s="341"/>
      <c r="M36" s="341">
        <v>84223.1</v>
      </c>
      <c r="N36" s="335">
        <v>6448.22</v>
      </c>
      <c r="O36" s="335"/>
      <c r="P36" s="335"/>
      <c r="Q36" s="335"/>
      <c r="R36" s="335"/>
      <c r="S36" s="336"/>
      <c r="T36" s="336"/>
      <c r="U36" s="342"/>
      <c r="V36" s="342"/>
      <c r="W36" s="342"/>
      <c r="X36" s="342"/>
      <c r="Y36" s="337">
        <f t="shared" si="1"/>
        <v>0</v>
      </c>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row>
    <row r="37" spans="1:60" s="145" customFormat="1" ht="12.75">
      <c r="A37" s="160"/>
      <c r="B37" s="145" t="s">
        <v>305</v>
      </c>
      <c r="D37" s="140">
        <f>SUM(F37:X37)</f>
        <v>0</v>
      </c>
      <c r="E37" s="141"/>
      <c r="F37" s="342"/>
      <c r="G37" s="335"/>
      <c r="H37" s="335"/>
      <c r="I37" s="335"/>
      <c r="J37" s="341"/>
      <c r="K37" s="341"/>
      <c r="L37" s="341"/>
      <c r="M37" s="341"/>
      <c r="N37" s="335"/>
      <c r="O37" s="335"/>
      <c r="P37" s="335"/>
      <c r="Q37" s="335"/>
      <c r="R37" s="335"/>
      <c r="S37" s="336"/>
      <c r="T37" s="336"/>
      <c r="U37" s="342"/>
      <c r="V37" s="342"/>
      <c r="W37" s="342"/>
      <c r="X37" s="342"/>
      <c r="Y37" s="337">
        <f t="shared" si="1"/>
        <v>0</v>
      </c>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row>
    <row r="38" spans="2:60" s="145" customFormat="1" ht="12.75">
      <c r="B38" s="145" t="s">
        <v>306</v>
      </c>
      <c r="D38" s="140">
        <f>SUM(F38:X38)</f>
        <v>0</v>
      </c>
      <c r="E38" s="141"/>
      <c r="F38" s="342"/>
      <c r="G38" s="335"/>
      <c r="H38" s="335"/>
      <c r="I38" s="335"/>
      <c r="J38" s="341"/>
      <c r="K38" s="341"/>
      <c r="L38" s="341"/>
      <c r="M38" s="341"/>
      <c r="N38" s="335"/>
      <c r="O38" s="335"/>
      <c r="P38" s="335"/>
      <c r="Q38" s="335"/>
      <c r="R38" s="335"/>
      <c r="S38" s="336"/>
      <c r="T38" s="336"/>
      <c r="U38" s="342"/>
      <c r="V38" s="342"/>
      <c r="W38" s="342"/>
      <c r="X38" s="342"/>
      <c r="Y38" s="337">
        <f t="shared" si="1"/>
        <v>0</v>
      </c>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row>
    <row r="39" spans="2:60" s="145" customFormat="1" ht="12.75">
      <c r="B39" s="145" t="s">
        <v>307</v>
      </c>
      <c r="D39" s="140">
        <f>SUM(F39:X39)</f>
        <v>-165572.42</v>
      </c>
      <c r="E39" s="141"/>
      <c r="F39" s="342"/>
      <c r="G39" s="335"/>
      <c r="H39" s="335"/>
      <c r="I39" s="335"/>
      <c r="J39" s="341"/>
      <c r="K39" s="341"/>
      <c r="L39" s="341"/>
      <c r="M39" s="341"/>
      <c r="N39" s="335"/>
      <c r="O39" s="335"/>
      <c r="P39" s="335"/>
      <c r="Q39" s="335"/>
      <c r="R39" s="335"/>
      <c r="S39" s="336">
        <v>-165572.42</v>
      </c>
      <c r="T39" s="336"/>
      <c r="U39" s="342"/>
      <c r="V39" s="342"/>
      <c r="W39" s="342"/>
      <c r="X39" s="342"/>
      <c r="Y39" s="337">
        <f t="shared" si="1"/>
        <v>0</v>
      </c>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row>
    <row r="40" spans="1:60" s="145" customFormat="1" ht="12.75">
      <c r="A40" s="160" t="s">
        <v>308</v>
      </c>
      <c r="D40" s="163">
        <f>SUM(D34:D39)</f>
        <v>3231663.6700000004</v>
      </c>
      <c r="E40" s="141"/>
      <c r="F40" s="335"/>
      <c r="G40" s="335"/>
      <c r="H40" s="335"/>
      <c r="I40" s="335"/>
      <c r="J40" s="341"/>
      <c r="K40" s="341"/>
      <c r="L40" s="341"/>
      <c r="M40" s="341"/>
      <c r="N40" s="335"/>
      <c r="O40" s="335"/>
      <c r="P40" s="335"/>
      <c r="Q40" s="335"/>
      <c r="R40" s="335"/>
      <c r="S40" s="336"/>
      <c r="T40" s="336"/>
      <c r="U40" s="335"/>
      <c r="V40" s="335"/>
      <c r="W40" s="335"/>
      <c r="X40" s="335"/>
      <c r="Y40" s="337"/>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row>
    <row r="41" spans="1:60" s="145" customFormat="1" ht="12.75">
      <c r="A41" s="160"/>
      <c r="D41" s="164"/>
      <c r="E41" s="141"/>
      <c r="F41" s="335"/>
      <c r="G41" s="335"/>
      <c r="H41" s="335"/>
      <c r="I41" s="335"/>
      <c r="J41" s="341"/>
      <c r="K41" s="341"/>
      <c r="L41" s="341"/>
      <c r="M41" s="341"/>
      <c r="N41" s="335"/>
      <c r="O41" s="335"/>
      <c r="P41" s="335"/>
      <c r="Q41" s="335"/>
      <c r="R41" s="335"/>
      <c r="S41" s="336"/>
      <c r="T41" s="336"/>
      <c r="U41" s="335"/>
      <c r="V41" s="335"/>
      <c r="W41" s="335"/>
      <c r="X41" s="335"/>
      <c r="Y41" s="337">
        <f t="shared" si="1"/>
        <v>0</v>
      </c>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row>
    <row r="42" spans="1:60" s="145" customFormat="1" ht="12.75">
      <c r="A42" s="146" t="s">
        <v>309</v>
      </c>
      <c r="D42" s="148" t="s">
        <v>48</v>
      </c>
      <c r="E42" s="141"/>
      <c r="F42" s="335"/>
      <c r="G42" s="335"/>
      <c r="H42" s="335"/>
      <c r="I42" s="335"/>
      <c r="J42" s="339"/>
      <c r="K42" s="341"/>
      <c r="L42" s="341"/>
      <c r="M42" s="341"/>
      <c r="N42" s="335"/>
      <c r="O42" s="335"/>
      <c r="P42" s="335"/>
      <c r="Q42" s="335"/>
      <c r="R42" s="335"/>
      <c r="S42" s="336"/>
      <c r="T42" s="336"/>
      <c r="U42" s="335"/>
      <c r="V42" s="335"/>
      <c r="W42" s="335"/>
      <c r="X42" s="335"/>
      <c r="Y42" s="337"/>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row>
    <row r="43" spans="1:60" s="145" customFormat="1" ht="12.75">
      <c r="A43" s="146"/>
      <c r="B43" s="145" t="s">
        <v>457</v>
      </c>
      <c r="D43" s="140">
        <f>SUM(F43:X43)</f>
        <v>0</v>
      </c>
      <c r="E43" s="141"/>
      <c r="F43" s="335"/>
      <c r="G43" s="335"/>
      <c r="H43" s="335"/>
      <c r="I43" s="335"/>
      <c r="J43" s="341"/>
      <c r="K43" s="341"/>
      <c r="L43" s="341"/>
      <c r="M43" s="339"/>
      <c r="N43" s="335"/>
      <c r="O43" s="335"/>
      <c r="P43" s="335"/>
      <c r="Q43" s="335"/>
      <c r="R43" s="335"/>
      <c r="S43" s="336"/>
      <c r="T43" s="336"/>
      <c r="U43" s="335"/>
      <c r="V43" s="335"/>
      <c r="W43" s="335"/>
      <c r="X43" s="335"/>
      <c r="Y43" s="337">
        <f t="shared" si="1"/>
        <v>0</v>
      </c>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row>
    <row r="44" spans="1:60" s="145" customFormat="1" ht="12.75">
      <c r="A44" s="146"/>
      <c r="B44" s="145" t="s">
        <v>472</v>
      </c>
      <c r="D44" s="140">
        <f>SUM(F44:X44)</f>
        <v>-45000</v>
      </c>
      <c r="E44" s="141"/>
      <c r="F44" s="335"/>
      <c r="G44" s="335"/>
      <c r="H44" s="335">
        <v>-45000</v>
      </c>
      <c r="I44" s="335"/>
      <c r="J44" s="341"/>
      <c r="K44" s="341"/>
      <c r="L44" s="341"/>
      <c r="M44" s="341"/>
      <c r="N44" s="335"/>
      <c r="O44" s="335"/>
      <c r="P44" s="335"/>
      <c r="Q44" s="335"/>
      <c r="R44" s="335"/>
      <c r="S44" s="336"/>
      <c r="T44" s="336"/>
      <c r="U44" s="335"/>
      <c r="V44" s="335"/>
      <c r="W44" s="335"/>
      <c r="X44" s="335"/>
      <c r="Y44" s="337">
        <f t="shared" si="1"/>
        <v>0</v>
      </c>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row>
    <row r="45" spans="1:60" s="145" customFormat="1" ht="12.75">
      <c r="A45" s="146"/>
      <c r="B45" s="145" t="s">
        <v>458</v>
      </c>
      <c r="D45" s="140">
        <f>SUM(F45:X45)</f>
        <v>0</v>
      </c>
      <c r="E45" s="141"/>
      <c r="F45" s="335"/>
      <c r="G45" s="335"/>
      <c r="H45" s="335"/>
      <c r="I45" s="335"/>
      <c r="J45" s="341"/>
      <c r="K45" s="341"/>
      <c r="L45" s="341"/>
      <c r="M45" s="341"/>
      <c r="N45" s="335"/>
      <c r="O45" s="335"/>
      <c r="P45" s="335"/>
      <c r="Q45" s="335"/>
      <c r="R45" s="335"/>
      <c r="S45" s="336"/>
      <c r="T45" s="336"/>
      <c r="U45" s="335"/>
      <c r="V45" s="335"/>
      <c r="W45" s="335"/>
      <c r="X45" s="335"/>
      <c r="Y45" s="337">
        <f t="shared" si="1"/>
        <v>0</v>
      </c>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row>
    <row r="46" spans="1:60" s="145" customFormat="1" ht="12.75">
      <c r="A46" s="139"/>
      <c r="B46" s="145" t="s">
        <v>310</v>
      </c>
      <c r="C46" s="139"/>
      <c r="D46" s="140">
        <f>SUM(F46:X46)</f>
        <v>0</v>
      </c>
      <c r="E46" s="141"/>
      <c r="F46" s="335"/>
      <c r="G46" s="335"/>
      <c r="H46" s="335"/>
      <c r="I46" s="335"/>
      <c r="J46" s="341"/>
      <c r="K46" s="341"/>
      <c r="L46" s="341"/>
      <c r="M46" s="341"/>
      <c r="N46" s="335"/>
      <c r="O46" s="335"/>
      <c r="P46" s="335"/>
      <c r="Q46" s="335"/>
      <c r="R46" s="335"/>
      <c r="S46" s="336"/>
      <c r="T46" s="336"/>
      <c r="U46" s="335"/>
      <c r="V46" s="335"/>
      <c r="W46" s="335"/>
      <c r="X46" s="335"/>
      <c r="Y46" s="337">
        <f t="shared" si="1"/>
        <v>0</v>
      </c>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row>
    <row r="47" spans="1:60" s="145" customFormat="1" ht="12.75">
      <c r="A47" s="139"/>
      <c r="B47" s="139" t="s">
        <v>311</v>
      </c>
      <c r="C47" s="139"/>
      <c r="D47" s="140">
        <f>SUM(F47:X47)</f>
        <v>-275551.9</v>
      </c>
      <c r="E47" s="141"/>
      <c r="F47" s="341">
        <v>-275551.9</v>
      </c>
      <c r="G47" s="335"/>
      <c r="H47" s="335"/>
      <c r="I47" s="335"/>
      <c r="J47" s="341"/>
      <c r="K47" s="341"/>
      <c r="L47" s="341"/>
      <c r="M47" s="341"/>
      <c r="N47" s="335"/>
      <c r="O47" s="335"/>
      <c r="P47" s="335"/>
      <c r="Q47" s="335"/>
      <c r="R47" s="335"/>
      <c r="S47" s="336"/>
      <c r="T47" s="336"/>
      <c r="U47" s="335"/>
      <c r="V47" s="335"/>
      <c r="W47" s="335"/>
      <c r="X47" s="335"/>
      <c r="Y47" s="337">
        <f t="shared" si="1"/>
        <v>0</v>
      </c>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row>
    <row r="48" spans="1:60" s="145" customFormat="1" ht="12.75">
      <c r="A48" s="146"/>
      <c r="D48" s="140"/>
      <c r="E48" s="141"/>
      <c r="F48" s="335"/>
      <c r="G48" s="335"/>
      <c r="H48" s="335"/>
      <c r="I48" s="335"/>
      <c r="J48" s="341"/>
      <c r="K48" s="341"/>
      <c r="L48" s="341"/>
      <c r="M48" s="341"/>
      <c r="N48" s="335"/>
      <c r="O48" s="335"/>
      <c r="P48" s="335"/>
      <c r="Q48" s="335"/>
      <c r="R48" s="335"/>
      <c r="S48" s="336"/>
      <c r="T48" s="336"/>
      <c r="U48" s="335"/>
      <c r="V48" s="335"/>
      <c r="W48" s="335"/>
      <c r="X48" s="335"/>
      <c r="Y48" s="337">
        <f t="shared" si="1"/>
        <v>0</v>
      </c>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row>
    <row r="49" spans="1:60" s="145" customFormat="1" ht="12.75">
      <c r="A49" s="160" t="s">
        <v>312</v>
      </c>
      <c r="D49" s="163">
        <f>SUM(D43:D48)</f>
        <v>-320551.9</v>
      </c>
      <c r="E49" s="141"/>
      <c r="F49" s="335"/>
      <c r="G49" s="335"/>
      <c r="H49" s="335"/>
      <c r="I49" s="335"/>
      <c r="J49" s="341"/>
      <c r="K49" s="341"/>
      <c r="L49" s="341"/>
      <c r="M49" s="341"/>
      <c r="N49" s="335"/>
      <c r="O49" s="335"/>
      <c r="P49" s="335"/>
      <c r="Q49" s="335"/>
      <c r="R49" s="335"/>
      <c r="S49" s="336"/>
      <c r="T49" s="336"/>
      <c r="U49" s="335"/>
      <c r="V49" s="335"/>
      <c r="W49" s="335"/>
      <c r="X49" s="335"/>
      <c r="Y49" s="337"/>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row>
    <row r="50" spans="1:60" s="145" customFormat="1" ht="12.75">
      <c r="A50" s="160"/>
      <c r="D50" s="164"/>
      <c r="E50" s="141"/>
      <c r="F50" s="335"/>
      <c r="G50" s="335"/>
      <c r="H50" s="335"/>
      <c r="I50" s="335"/>
      <c r="J50" s="341"/>
      <c r="K50" s="341"/>
      <c r="L50" s="341"/>
      <c r="M50" s="341"/>
      <c r="N50" s="335"/>
      <c r="O50" s="335"/>
      <c r="P50" s="335"/>
      <c r="Q50" s="335"/>
      <c r="R50" s="335"/>
      <c r="S50" s="336"/>
      <c r="T50" s="336"/>
      <c r="U50" s="335"/>
      <c r="V50" s="335"/>
      <c r="W50" s="335"/>
      <c r="X50" s="335"/>
      <c r="Y50" s="337">
        <f t="shared" si="1"/>
        <v>0</v>
      </c>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row>
    <row r="51" spans="1:60" s="145" customFormat="1" ht="12.75">
      <c r="A51" s="146" t="s">
        <v>313</v>
      </c>
      <c r="D51" s="148" t="s">
        <v>48</v>
      </c>
      <c r="E51" s="141"/>
      <c r="F51" s="335"/>
      <c r="G51" s="335"/>
      <c r="H51" s="335"/>
      <c r="I51" s="335"/>
      <c r="J51" s="341"/>
      <c r="K51" s="341"/>
      <c r="L51" s="341"/>
      <c r="M51" s="341"/>
      <c r="N51" s="335"/>
      <c r="O51" s="335"/>
      <c r="P51" s="335"/>
      <c r="Q51" s="335"/>
      <c r="R51" s="335"/>
      <c r="S51" s="336"/>
      <c r="T51" s="336"/>
      <c r="U51" s="335"/>
      <c r="V51" s="335"/>
      <c r="W51" s="335"/>
      <c r="X51" s="335"/>
      <c r="Y51" s="337"/>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row>
    <row r="52" spans="1:60" s="145" customFormat="1" ht="12.75">
      <c r="A52" s="146"/>
      <c r="B52" s="145" t="s">
        <v>314</v>
      </c>
      <c r="D52" s="140">
        <f>SUM(F52:X52)</f>
        <v>0</v>
      </c>
      <c r="E52" s="141"/>
      <c r="F52" s="335"/>
      <c r="G52" s="335"/>
      <c r="H52" s="335"/>
      <c r="I52" s="339"/>
      <c r="J52" s="341"/>
      <c r="K52" s="341"/>
      <c r="L52" s="341"/>
      <c r="M52" s="341"/>
      <c r="N52" s="335"/>
      <c r="O52" s="335"/>
      <c r="P52" s="335"/>
      <c r="Q52" s="335"/>
      <c r="R52" s="335"/>
      <c r="S52" s="336"/>
      <c r="T52" s="336"/>
      <c r="U52" s="335"/>
      <c r="V52" s="335"/>
      <c r="W52" s="335"/>
      <c r="X52" s="335"/>
      <c r="Y52" s="337">
        <f t="shared" si="1"/>
        <v>0</v>
      </c>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row>
    <row r="53" spans="1:60" s="145" customFormat="1" ht="12.75">
      <c r="A53" s="146"/>
      <c r="B53" s="145" t="s">
        <v>488</v>
      </c>
      <c r="D53" s="140">
        <f>SUM(F53:X53)</f>
        <v>-1300</v>
      </c>
      <c r="E53" s="141"/>
      <c r="F53" s="335"/>
      <c r="G53" s="335"/>
      <c r="H53" s="335"/>
      <c r="I53" s="339"/>
      <c r="J53" s="341"/>
      <c r="K53" s="341"/>
      <c r="L53" s="341"/>
      <c r="M53" s="341"/>
      <c r="N53" s="335"/>
      <c r="O53" s="335"/>
      <c r="P53" s="335"/>
      <c r="Q53" s="335"/>
      <c r="R53" s="335"/>
      <c r="S53" s="336"/>
      <c r="T53" s="336"/>
      <c r="U53" s="335"/>
      <c r="V53" s="335">
        <v>-1300</v>
      </c>
      <c r="W53" s="335"/>
      <c r="X53" s="335"/>
      <c r="Y53" s="337"/>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row>
    <row r="54" spans="1:60" s="145" customFormat="1" ht="12.75">
      <c r="A54" s="146"/>
      <c r="B54" s="145" t="s">
        <v>489</v>
      </c>
      <c r="D54" s="140">
        <f>SUM(F54:X54)</f>
        <v>0</v>
      </c>
      <c r="E54" s="141"/>
      <c r="F54" s="335"/>
      <c r="G54" s="335"/>
      <c r="H54" s="335"/>
      <c r="I54" s="335"/>
      <c r="J54" s="341"/>
      <c r="K54" s="341"/>
      <c r="L54" s="341"/>
      <c r="M54" s="341"/>
      <c r="N54" s="339"/>
      <c r="O54" s="339"/>
      <c r="P54" s="335"/>
      <c r="Q54" s="335"/>
      <c r="R54" s="335"/>
      <c r="S54" s="336"/>
      <c r="T54" s="336"/>
      <c r="U54" s="335"/>
      <c r="V54" s="335"/>
      <c r="W54" s="335"/>
      <c r="X54" s="335"/>
      <c r="Y54" s="337">
        <f t="shared" si="1"/>
        <v>0</v>
      </c>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row>
    <row r="55" spans="1:60" s="145" customFormat="1" ht="12.75">
      <c r="A55" s="146"/>
      <c r="B55" s="145" t="s">
        <v>315</v>
      </c>
      <c r="D55" s="140">
        <f>SUM(F55:X55)</f>
        <v>0</v>
      </c>
      <c r="E55" s="141"/>
      <c r="F55" s="335"/>
      <c r="G55" s="335"/>
      <c r="H55" s="335"/>
      <c r="I55" s="335"/>
      <c r="J55" s="341"/>
      <c r="K55" s="341"/>
      <c r="L55" s="341"/>
      <c r="M55" s="341"/>
      <c r="N55" s="335"/>
      <c r="O55" s="335"/>
      <c r="P55" s="335"/>
      <c r="Q55" s="335"/>
      <c r="R55" s="335"/>
      <c r="S55" s="336"/>
      <c r="T55" s="336"/>
      <c r="U55" s="335"/>
      <c r="V55" s="335"/>
      <c r="W55" s="335"/>
      <c r="X55" s="335"/>
      <c r="Y55" s="337">
        <f t="shared" si="1"/>
        <v>0</v>
      </c>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row>
    <row r="56" spans="1:60" s="145" customFormat="1" ht="12.75">
      <c r="A56" s="146"/>
      <c r="B56" s="145" t="s">
        <v>316</v>
      </c>
      <c r="D56" s="140">
        <f>SUM(F56:X56)</f>
        <v>0</v>
      </c>
      <c r="E56" s="141"/>
      <c r="F56" s="335"/>
      <c r="G56" s="341"/>
      <c r="H56" s="341"/>
      <c r="I56" s="341"/>
      <c r="J56" s="335"/>
      <c r="K56" s="335"/>
      <c r="L56" s="335"/>
      <c r="M56" s="335"/>
      <c r="N56" s="335"/>
      <c r="O56" s="335"/>
      <c r="P56" s="335"/>
      <c r="Q56" s="335"/>
      <c r="R56" s="335"/>
      <c r="S56" s="336"/>
      <c r="T56" s="336"/>
      <c r="U56" s="335"/>
      <c r="V56" s="335"/>
      <c r="W56" s="335"/>
      <c r="X56" s="335"/>
      <c r="Y56" s="337">
        <f t="shared" si="1"/>
        <v>0</v>
      </c>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row>
    <row r="57" spans="1:60" s="145" customFormat="1" ht="12.75">
      <c r="A57" s="160" t="s">
        <v>312</v>
      </c>
      <c r="D57" s="163">
        <f>SUM(D52:D56)</f>
        <v>-1300</v>
      </c>
      <c r="E57" s="141"/>
      <c r="F57" s="335"/>
      <c r="G57" s="335"/>
      <c r="H57" s="335"/>
      <c r="I57" s="335"/>
      <c r="J57" s="341"/>
      <c r="K57" s="341"/>
      <c r="L57" s="341"/>
      <c r="M57" s="341"/>
      <c r="N57" s="335"/>
      <c r="O57" s="335"/>
      <c r="P57" s="335"/>
      <c r="Q57" s="335"/>
      <c r="R57" s="335"/>
      <c r="S57" s="336"/>
      <c r="T57" s="336"/>
      <c r="U57" s="335"/>
      <c r="V57" s="335"/>
      <c r="W57" s="335"/>
      <c r="X57" s="335"/>
      <c r="Y57" s="337"/>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row>
    <row r="58" spans="4:60" s="145" customFormat="1" ht="12.75">
      <c r="D58" s="140"/>
      <c r="E58" s="141"/>
      <c r="F58" s="335"/>
      <c r="G58" s="335"/>
      <c r="H58" s="335"/>
      <c r="I58" s="335"/>
      <c r="J58" s="341"/>
      <c r="K58" s="341"/>
      <c r="L58" s="341"/>
      <c r="M58" s="341"/>
      <c r="N58" s="339"/>
      <c r="O58" s="339"/>
      <c r="P58" s="335"/>
      <c r="Q58" s="335"/>
      <c r="R58" s="335"/>
      <c r="S58" s="336"/>
      <c r="T58" s="336"/>
      <c r="U58" s="335"/>
      <c r="V58" s="335"/>
      <c r="W58" s="335"/>
      <c r="X58" s="335"/>
      <c r="Y58" s="337"/>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row>
    <row r="59" spans="2:60" s="145" customFormat="1" ht="12.75">
      <c r="B59" s="145" t="s">
        <v>317</v>
      </c>
      <c r="D59" s="140">
        <f>SUM(D40+D49+D57)</f>
        <v>2909811.7700000005</v>
      </c>
      <c r="E59" s="141">
        <v>18960109.229999997</v>
      </c>
      <c r="F59" s="335"/>
      <c r="G59" s="335"/>
      <c r="H59" s="335"/>
      <c r="I59" s="335"/>
      <c r="J59" s="341"/>
      <c r="K59" s="341"/>
      <c r="L59" s="341"/>
      <c r="M59" s="341">
        <v>-3526689.27</v>
      </c>
      <c r="N59" s="335">
        <f>303006+1203379</f>
        <v>1506385</v>
      </c>
      <c r="O59" s="335">
        <v>-889507.85</v>
      </c>
      <c r="P59" s="335"/>
      <c r="Q59" s="335"/>
      <c r="R59" s="335"/>
      <c r="S59" s="336"/>
      <c r="T59" s="336"/>
      <c r="U59" s="335"/>
      <c r="V59" s="335"/>
      <c r="W59" s="335"/>
      <c r="X59" s="335"/>
      <c r="Y59" s="337"/>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row>
    <row r="60" spans="1:60" s="145" customFormat="1" ht="12.75">
      <c r="A60" s="146"/>
      <c r="B60" s="145" t="s">
        <v>318</v>
      </c>
      <c r="D60" s="140">
        <v>19006579.23</v>
      </c>
      <c r="E60" s="141">
        <v>46470</v>
      </c>
      <c r="F60" s="335"/>
      <c r="G60" s="335"/>
      <c r="H60" s="335"/>
      <c r="I60" s="335"/>
      <c r="J60" s="341"/>
      <c r="K60" s="341"/>
      <c r="L60" s="341"/>
      <c r="M60" s="341"/>
      <c r="N60" s="335"/>
      <c r="O60" s="335"/>
      <c r="P60" s="335"/>
      <c r="Q60" s="335"/>
      <c r="R60" s="335"/>
      <c r="S60" s="336"/>
      <c r="T60" s="336"/>
      <c r="U60" s="335"/>
      <c r="V60" s="335"/>
      <c r="W60" s="335"/>
      <c r="X60" s="335"/>
      <c r="Y60" s="337"/>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row>
    <row r="61" spans="2:60" s="145" customFormat="1" ht="13.5" thickBot="1">
      <c r="B61" s="165" t="s">
        <v>319</v>
      </c>
      <c r="D61" s="166">
        <f>SUM(D59:D60)</f>
        <v>21916391</v>
      </c>
      <c r="E61" s="181">
        <v>19006579.229999997</v>
      </c>
      <c r="F61" s="332">
        <f>SUM(F8:F60)</f>
        <v>0</v>
      </c>
      <c r="G61" s="332">
        <f aca="true" t="shared" si="4" ref="G61:Y61">SUM(G8:G60)</f>
        <v>0</v>
      </c>
      <c r="H61" s="332">
        <f t="shared" si="4"/>
        <v>0</v>
      </c>
      <c r="I61" s="332">
        <f t="shared" si="4"/>
        <v>-0.003999999909865437</v>
      </c>
      <c r="J61" s="332">
        <f t="shared" si="4"/>
        <v>0</v>
      </c>
      <c r="K61" s="332">
        <f t="shared" si="4"/>
        <v>0</v>
      </c>
      <c r="L61" s="332">
        <f t="shared" si="4"/>
        <v>0</v>
      </c>
      <c r="M61" s="332">
        <f t="shared" si="4"/>
        <v>0</v>
      </c>
      <c r="N61" s="332">
        <f t="shared" si="4"/>
        <v>-0.5000000002328306</v>
      </c>
      <c r="O61" s="332">
        <f t="shared" si="4"/>
        <v>0</v>
      </c>
      <c r="P61" s="332">
        <f t="shared" si="4"/>
        <v>0</v>
      </c>
      <c r="Q61" s="332">
        <f t="shared" si="4"/>
        <v>0</v>
      </c>
      <c r="R61" s="332">
        <f t="shared" si="4"/>
        <v>0</v>
      </c>
      <c r="S61" s="332">
        <f t="shared" si="4"/>
        <v>-0.0008000000088941306</v>
      </c>
      <c r="T61" s="332">
        <f t="shared" si="4"/>
        <v>0</v>
      </c>
      <c r="U61" s="332">
        <f t="shared" si="4"/>
        <v>0</v>
      </c>
      <c r="V61" s="332">
        <f t="shared" si="4"/>
        <v>0</v>
      </c>
      <c r="W61" s="332">
        <f t="shared" si="4"/>
        <v>0.0048000020906329155</v>
      </c>
      <c r="X61" s="332">
        <f t="shared" si="4"/>
        <v>0</v>
      </c>
      <c r="Y61" s="332">
        <f t="shared" si="4"/>
        <v>-0.1500000017695129</v>
      </c>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row>
    <row r="62" spans="4:60" s="145" customFormat="1" ht="13.5" thickTop="1">
      <c r="D62" s="140"/>
      <c r="E62" s="141"/>
      <c r="F62" s="342"/>
      <c r="G62" s="342"/>
      <c r="H62" s="342"/>
      <c r="I62" s="342"/>
      <c r="J62" s="341"/>
      <c r="K62" s="341"/>
      <c r="L62" s="341"/>
      <c r="M62" s="341"/>
      <c r="N62" s="338"/>
      <c r="O62" s="338"/>
      <c r="P62" s="338"/>
      <c r="Q62" s="342"/>
      <c r="R62" s="342"/>
      <c r="S62" s="343"/>
      <c r="T62" s="343"/>
      <c r="U62" s="342"/>
      <c r="V62" s="342"/>
      <c r="W62" s="342"/>
      <c r="X62" s="342"/>
      <c r="Y62" s="337"/>
      <c r="Z62" s="344"/>
      <c r="AA62" s="344"/>
      <c r="AB62" s="344"/>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row>
    <row r="63" spans="4:60" s="145" customFormat="1" ht="12.75">
      <c r="D63" s="140"/>
      <c r="E63" s="141"/>
      <c r="F63" s="335"/>
      <c r="G63" s="335"/>
      <c r="H63" s="335"/>
      <c r="I63" s="335"/>
      <c r="J63" s="341"/>
      <c r="K63" s="341"/>
      <c r="L63" s="341"/>
      <c r="M63" s="341"/>
      <c r="N63" s="341"/>
      <c r="O63" s="341"/>
      <c r="P63" s="341"/>
      <c r="Q63" s="335"/>
      <c r="R63" s="335"/>
      <c r="S63" s="336"/>
      <c r="T63" s="336"/>
      <c r="U63" s="335"/>
      <c r="V63" s="335"/>
      <c r="W63" s="335"/>
      <c r="X63" s="335"/>
      <c r="Y63" s="337"/>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row>
    <row r="64" spans="1:60" s="145" customFormat="1" ht="12.75">
      <c r="A64" s="168" t="s">
        <v>320</v>
      </c>
      <c r="B64" s="169"/>
      <c r="C64" s="170"/>
      <c r="D64" s="324">
        <v>2005</v>
      </c>
      <c r="E64" s="171">
        <v>2004</v>
      </c>
      <c r="F64" s="341"/>
      <c r="G64" s="342"/>
      <c r="H64" s="342"/>
      <c r="I64" s="342"/>
      <c r="J64" s="338"/>
      <c r="K64" s="338"/>
      <c r="L64" s="338"/>
      <c r="M64" s="338"/>
      <c r="N64" s="338"/>
      <c r="O64" s="338"/>
      <c r="P64" s="338"/>
      <c r="Q64" s="341"/>
      <c r="R64" s="341"/>
      <c r="S64" s="341"/>
      <c r="T64" s="341"/>
      <c r="U64" s="341"/>
      <c r="V64" s="341"/>
      <c r="W64" s="341"/>
      <c r="X64" s="341"/>
      <c r="Y64" s="337"/>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row>
    <row r="65" spans="1:60" s="145" customFormat="1" ht="12.75">
      <c r="A65" s="172" t="s">
        <v>321</v>
      </c>
      <c r="B65" s="154"/>
      <c r="C65" s="154"/>
      <c r="D65" s="173" t="s">
        <v>4</v>
      </c>
      <c r="E65" s="173" t="s">
        <v>4</v>
      </c>
      <c r="F65" s="341"/>
      <c r="G65" s="342"/>
      <c r="H65" s="342"/>
      <c r="I65" s="342"/>
      <c r="J65" s="338"/>
      <c r="K65" s="338"/>
      <c r="L65" s="338"/>
      <c r="M65" s="338"/>
      <c r="N65" s="338"/>
      <c r="O65" s="338"/>
      <c r="P65" s="338"/>
      <c r="Q65" s="342"/>
      <c r="R65" s="342"/>
      <c r="S65" s="341"/>
      <c r="T65" s="341"/>
      <c r="U65" s="341"/>
      <c r="V65" s="341"/>
      <c r="W65" s="341"/>
      <c r="X65" s="341"/>
      <c r="Y65" s="337"/>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row>
    <row r="66" spans="1:60" s="145" customFormat="1" ht="12.75">
      <c r="A66" s="172"/>
      <c r="B66" s="154"/>
      <c r="C66" s="154"/>
      <c r="D66" s="174"/>
      <c r="E66" s="141"/>
      <c r="F66" s="341"/>
      <c r="G66" s="342"/>
      <c r="H66" s="342"/>
      <c r="I66" s="342"/>
      <c r="J66" s="338"/>
      <c r="K66" s="338"/>
      <c r="L66" s="338"/>
      <c r="M66" s="338"/>
      <c r="N66" s="338"/>
      <c r="O66" s="338"/>
      <c r="P66" s="338"/>
      <c r="Q66" s="342"/>
      <c r="R66" s="342"/>
      <c r="S66" s="341"/>
      <c r="T66" s="341"/>
      <c r="U66" s="341"/>
      <c r="V66" s="341"/>
      <c r="W66" s="341"/>
      <c r="X66" s="341"/>
      <c r="Y66" s="337"/>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row>
    <row r="67" spans="1:25" s="145" customFormat="1" ht="12.75">
      <c r="A67" s="172"/>
      <c r="B67" s="154" t="s">
        <v>416</v>
      </c>
      <c r="C67" s="154"/>
      <c r="D67" s="148">
        <f>+'Balance Sheet'!I24</f>
        <v>19081067.18</v>
      </c>
      <c r="E67" s="141">
        <v>15554377.91</v>
      </c>
      <c r="F67" s="142"/>
      <c r="G67" s="167"/>
      <c r="H67" s="167"/>
      <c r="I67" s="167"/>
      <c r="J67" s="175"/>
      <c r="K67" s="175"/>
      <c r="L67" s="175"/>
      <c r="M67" s="175"/>
      <c r="N67" s="175"/>
      <c r="O67" s="175"/>
      <c r="P67" s="175"/>
      <c r="Q67" s="167"/>
      <c r="R67" s="167"/>
      <c r="S67" s="142"/>
      <c r="T67" s="142"/>
      <c r="U67" s="142"/>
      <c r="V67" s="142"/>
      <c r="W67" s="142"/>
      <c r="X67" s="142"/>
      <c r="Y67" s="141"/>
    </row>
    <row r="68" spans="1:25" s="145" customFormat="1" ht="12.75">
      <c r="A68" s="172"/>
      <c r="B68" s="154" t="s">
        <v>42</v>
      </c>
      <c r="C68" s="154"/>
      <c r="D68" s="148">
        <f>+'Balance Sheet'!I25</f>
        <v>1028149.22</v>
      </c>
      <c r="E68" s="141">
        <v>2534534.72</v>
      </c>
      <c r="F68" s="142"/>
      <c r="G68" s="167"/>
      <c r="H68" s="167"/>
      <c r="I68" s="167"/>
      <c r="J68" s="175"/>
      <c r="K68" s="175"/>
      <c r="L68" s="175"/>
      <c r="M68" s="175"/>
      <c r="N68" s="175"/>
      <c r="O68" s="175"/>
      <c r="P68" s="175"/>
      <c r="Q68" s="167"/>
      <c r="R68" s="167"/>
      <c r="S68" s="142"/>
      <c r="T68" s="142"/>
      <c r="U68" s="142"/>
      <c r="V68" s="142"/>
      <c r="W68" s="142"/>
      <c r="X68" s="142"/>
      <c r="Y68" s="141"/>
    </row>
    <row r="69" spans="1:25" s="145" customFormat="1" ht="12.75">
      <c r="A69" s="172"/>
      <c r="B69" s="145" t="s">
        <v>27</v>
      </c>
      <c r="C69" s="154"/>
      <c r="D69" s="176">
        <f>+'Balance Sheet'!I26</f>
        <v>1807174.63</v>
      </c>
      <c r="E69" s="141">
        <v>917666.78</v>
      </c>
      <c r="F69" s="161"/>
      <c r="G69" s="177"/>
      <c r="H69" s="177"/>
      <c r="I69" s="177"/>
      <c r="J69" s="175"/>
      <c r="K69" s="175"/>
      <c r="L69" s="175"/>
      <c r="M69" s="175"/>
      <c r="N69" s="177"/>
      <c r="O69" s="177"/>
      <c r="P69" s="177"/>
      <c r="Q69" s="178"/>
      <c r="R69" s="178"/>
      <c r="S69" s="142"/>
      <c r="T69" s="142"/>
      <c r="U69" s="161"/>
      <c r="V69" s="161"/>
      <c r="W69" s="161"/>
      <c r="X69" s="161"/>
      <c r="Y69" s="141"/>
    </row>
    <row r="70" spans="1:25" s="145" customFormat="1" ht="13.5" thickBot="1">
      <c r="A70" s="172"/>
      <c r="B70" s="179"/>
      <c r="C70" s="154"/>
      <c r="D70" s="180">
        <f>SUM(D67:D69)</f>
        <v>21916391.029999997</v>
      </c>
      <c r="E70" s="181">
        <v>19006579.41</v>
      </c>
      <c r="F70" s="161"/>
      <c r="G70" s="177"/>
      <c r="H70" s="177"/>
      <c r="I70" s="177"/>
      <c r="J70" s="175"/>
      <c r="K70" s="175"/>
      <c r="L70" s="175"/>
      <c r="M70" s="175"/>
      <c r="N70" s="177"/>
      <c r="O70" s="177"/>
      <c r="P70" s="177"/>
      <c r="Q70" s="178"/>
      <c r="R70" s="178"/>
      <c r="S70" s="142"/>
      <c r="T70" s="142"/>
      <c r="U70" s="161"/>
      <c r="V70" s="161"/>
      <c r="W70" s="161"/>
      <c r="X70" s="161"/>
      <c r="Y70" s="141"/>
    </row>
    <row r="71" spans="1:25" s="145" customFormat="1" ht="13.5" thickTop="1">
      <c r="A71" s="182"/>
      <c r="B71" s="183"/>
      <c r="C71" s="183"/>
      <c r="D71" s="333">
        <f>+D61-D70</f>
        <v>-0.029999997466802597</v>
      </c>
      <c r="E71" s="141"/>
      <c r="F71" s="161"/>
      <c r="G71" s="177"/>
      <c r="H71" s="177"/>
      <c r="I71" s="177"/>
      <c r="J71" s="175"/>
      <c r="K71" s="175"/>
      <c r="L71" s="175"/>
      <c r="M71" s="175"/>
      <c r="N71" s="177"/>
      <c r="O71" s="177"/>
      <c r="P71" s="177"/>
      <c r="Q71" s="178"/>
      <c r="R71" s="178"/>
      <c r="S71" s="142"/>
      <c r="T71" s="142"/>
      <c r="U71" s="161"/>
      <c r="V71" s="161"/>
      <c r="W71" s="161"/>
      <c r="X71" s="161"/>
      <c r="Y71" s="141"/>
    </row>
    <row r="72" spans="1:25" s="145" customFormat="1" ht="12.75">
      <c r="A72" s="172"/>
      <c r="D72" s="140"/>
      <c r="E72" s="141"/>
      <c r="F72" s="161"/>
      <c r="G72" s="167"/>
      <c r="H72" s="167"/>
      <c r="I72" s="167"/>
      <c r="J72" s="175"/>
      <c r="K72" s="175"/>
      <c r="L72" s="175"/>
      <c r="M72" s="175"/>
      <c r="N72" s="175"/>
      <c r="O72" s="175"/>
      <c r="P72" s="175"/>
      <c r="Q72" s="184"/>
      <c r="R72" s="184"/>
      <c r="S72" s="142"/>
      <c r="T72" s="142"/>
      <c r="U72" s="161"/>
      <c r="V72" s="161"/>
      <c r="W72" s="161"/>
      <c r="X72" s="161"/>
      <c r="Y72" s="141"/>
    </row>
    <row r="73" spans="1:25" s="145" customFormat="1" ht="12.75">
      <c r="A73" s="139"/>
      <c r="B73" s="139"/>
      <c r="C73" s="139"/>
      <c r="D73" s="161"/>
      <c r="E73" s="141"/>
      <c r="F73" s="161"/>
      <c r="G73" s="185"/>
      <c r="H73" s="185"/>
      <c r="I73" s="185"/>
      <c r="J73" s="175"/>
      <c r="K73" s="175"/>
      <c r="L73" s="175"/>
      <c r="M73" s="175"/>
      <c r="N73" s="185"/>
      <c r="O73" s="185"/>
      <c r="P73" s="185"/>
      <c r="Q73" s="185"/>
      <c r="R73" s="185"/>
      <c r="S73" s="142"/>
      <c r="T73" s="142"/>
      <c r="U73" s="161"/>
      <c r="V73" s="161"/>
      <c r="W73" s="161"/>
      <c r="X73" s="161"/>
      <c r="Y73" s="141"/>
    </row>
    <row r="74" spans="3:25" s="151" customFormat="1" ht="12.75">
      <c r="C74" s="152"/>
      <c r="D74" s="152"/>
      <c r="E74" s="149"/>
      <c r="F74" s="152"/>
      <c r="G74" s="152"/>
      <c r="H74" s="152"/>
      <c r="I74" s="152"/>
      <c r="J74" s="156"/>
      <c r="K74" s="156"/>
      <c r="L74" s="156"/>
      <c r="M74" s="156"/>
      <c r="N74" s="156"/>
      <c r="O74" s="156"/>
      <c r="P74" s="156"/>
      <c r="Q74" s="152"/>
      <c r="R74" s="152"/>
      <c r="S74" s="152"/>
      <c r="T74" s="152"/>
      <c r="U74" s="152"/>
      <c r="V74" s="152"/>
      <c r="W74" s="152"/>
      <c r="X74" s="152"/>
      <c r="Y74" s="149"/>
    </row>
    <row r="75" spans="3:25" s="151" customFormat="1" ht="12.75">
      <c r="C75" s="152"/>
      <c r="D75" s="152"/>
      <c r="E75" s="149"/>
      <c r="F75" s="152"/>
      <c r="G75" s="152"/>
      <c r="H75" s="152"/>
      <c r="I75" s="152"/>
      <c r="J75" s="156"/>
      <c r="K75" s="156"/>
      <c r="L75" s="156"/>
      <c r="M75" s="156"/>
      <c r="N75" s="156"/>
      <c r="O75" s="156"/>
      <c r="P75" s="156"/>
      <c r="Q75" s="152"/>
      <c r="R75" s="152"/>
      <c r="S75" s="152"/>
      <c r="T75" s="152"/>
      <c r="U75" s="152"/>
      <c r="V75" s="152"/>
      <c r="W75" s="152"/>
      <c r="X75" s="152"/>
      <c r="Y75" s="149"/>
    </row>
    <row r="76" spans="3:25" s="151" customFormat="1" ht="12.75">
      <c r="C76" s="152"/>
      <c r="D76" s="152"/>
      <c r="E76" s="149"/>
      <c r="F76" s="152"/>
      <c r="G76" s="152"/>
      <c r="H76" s="152"/>
      <c r="I76" s="152"/>
      <c r="J76" s="156"/>
      <c r="K76" s="156"/>
      <c r="L76" s="156"/>
      <c r="M76" s="156"/>
      <c r="N76" s="156"/>
      <c r="O76" s="156"/>
      <c r="P76" s="156"/>
      <c r="Q76" s="152"/>
      <c r="R76" s="152"/>
      <c r="S76" s="152"/>
      <c r="T76" s="152"/>
      <c r="U76" s="152"/>
      <c r="V76" s="152"/>
      <c r="W76" s="152"/>
      <c r="X76" s="152"/>
      <c r="Y76" s="149"/>
    </row>
    <row r="77" spans="3:25" s="151" customFormat="1" ht="12.75">
      <c r="C77" s="152"/>
      <c r="D77" s="152"/>
      <c r="E77" s="149"/>
      <c r="F77" s="152"/>
      <c r="G77" s="152"/>
      <c r="H77" s="152"/>
      <c r="I77" s="152"/>
      <c r="J77" s="156"/>
      <c r="K77" s="156"/>
      <c r="L77" s="156"/>
      <c r="M77" s="156"/>
      <c r="N77" s="156"/>
      <c r="O77" s="156"/>
      <c r="P77" s="156"/>
      <c r="Q77" s="152"/>
      <c r="R77" s="152"/>
      <c r="S77" s="152"/>
      <c r="T77" s="152"/>
      <c r="U77" s="152"/>
      <c r="V77" s="152"/>
      <c r="W77" s="152"/>
      <c r="X77" s="152"/>
      <c r="Y77" s="149"/>
    </row>
    <row r="78" spans="3:25" s="151" customFormat="1" ht="12.75">
      <c r="C78" s="152"/>
      <c r="D78" s="152"/>
      <c r="E78" s="149"/>
      <c r="F78" s="152"/>
      <c r="G78" s="152"/>
      <c r="H78" s="152"/>
      <c r="I78" s="152"/>
      <c r="J78" s="156"/>
      <c r="K78" s="156"/>
      <c r="L78" s="156"/>
      <c r="M78" s="156"/>
      <c r="N78" s="156"/>
      <c r="O78" s="156"/>
      <c r="P78" s="156"/>
      <c r="Q78" s="152"/>
      <c r="R78" s="152"/>
      <c r="S78" s="152"/>
      <c r="T78" s="152"/>
      <c r="U78" s="152"/>
      <c r="V78" s="152"/>
      <c r="W78" s="152"/>
      <c r="X78" s="152"/>
      <c r="Y78" s="149"/>
    </row>
    <row r="79" spans="3:25" s="151" customFormat="1" ht="12.75">
      <c r="C79" s="152"/>
      <c r="D79" s="152"/>
      <c r="E79" s="149"/>
      <c r="F79" s="152"/>
      <c r="G79" s="152"/>
      <c r="H79" s="152"/>
      <c r="I79" s="152"/>
      <c r="J79" s="156"/>
      <c r="K79" s="156"/>
      <c r="L79" s="156"/>
      <c r="M79" s="156"/>
      <c r="N79" s="156"/>
      <c r="O79" s="156"/>
      <c r="P79" s="156"/>
      <c r="Q79" s="152"/>
      <c r="R79" s="152"/>
      <c r="S79" s="152"/>
      <c r="T79" s="152"/>
      <c r="U79" s="152"/>
      <c r="V79" s="152"/>
      <c r="W79" s="152"/>
      <c r="X79" s="152"/>
      <c r="Y79" s="149"/>
    </row>
    <row r="80" spans="3:25" s="151" customFormat="1" ht="12.75">
      <c r="C80" s="152"/>
      <c r="D80" s="152"/>
      <c r="E80" s="149"/>
      <c r="F80" s="152"/>
      <c r="G80" s="152"/>
      <c r="H80" s="152"/>
      <c r="I80" s="152"/>
      <c r="J80" s="156"/>
      <c r="K80" s="156"/>
      <c r="L80" s="156"/>
      <c r="M80" s="156"/>
      <c r="N80" s="156"/>
      <c r="O80" s="156"/>
      <c r="P80" s="156"/>
      <c r="Q80" s="152"/>
      <c r="R80" s="152"/>
      <c r="S80" s="152"/>
      <c r="T80" s="152"/>
      <c r="U80" s="152"/>
      <c r="V80" s="152"/>
      <c r="W80" s="152"/>
      <c r="X80" s="152"/>
      <c r="Y80" s="149"/>
    </row>
    <row r="81" spans="3:25" s="151" customFormat="1" ht="12.75">
      <c r="C81" s="152"/>
      <c r="D81" s="152"/>
      <c r="E81" s="149"/>
      <c r="F81" s="152"/>
      <c r="G81" s="152"/>
      <c r="H81" s="152"/>
      <c r="I81" s="152"/>
      <c r="J81" s="156"/>
      <c r="K81" s="156"/>
      <c r="L81" s="156"/>
      <c r="M81" s="156"/>
      <c r="N81" s="156"/>
      <c r="O81" s="156"/>
      <c r="P81" s="156"/>
      <c r="Q81" s="152"/>
      <c r="R81" s="152"/>
      <c r="S81" s="152"/>
      <c r="T81" s="152"/>
      <c r="U81" s="152"/>
      <c r="V81" s="152"/>
      <c r="W81" s="152"/>
      <c r="X81" s="152"/>
      <c r="Y81" s="149"/>
    </row>
    <row r="82" spans="3:25" s="151" customFormat="1" ht="12.75">
      <c r="C82" s="152"/>
      <c r="D82" s="152"/>
      <c r="E82" s="149"/>
      <c r="F82" s="152"/>
      <c r="G82" s="152"/>
      <c r="H82" s="152"/>
      <c r="I82" s="152"/>
      <c r="J82" s="156"/>
      <c r="K82" s="156"/>
      <c r="L82" s="156"/>
      <c r="M82" s="156"/>
      <c r="N82" s="156"/>
      <c r="O82" s="156"/>
      <c r="P82" s="156"/>
      <c r="Q82" s="152"/>
      <c r="R82" s="152"/>
      <c r="S82" s="152"/>
      <c r="T82" s="152"/>
      <c r="U82" s="152"/>
      <c r="V82" s="152"/>
      <c r="W82" s="152"/>
      <c r="X82" s="152"/>
      <c r="Y82" s="149"/>
    </row>
    <row r="83" spans="3:25" s="151" customFormat="1" ht="12.75">
      <c r="C83" s="152"/>
      <c r="D83" s="152"/>
      <c r="E83" s="149"/>
      <c r="F83" s="152"/>
      <c r="G83" s="152"/>
      <c r="H83" s="152"/>
      <c r="I83" s="152"/>
      <c r="J83" s="156"/>
      <c r="K83" s="156"/>
      <c r="L83" s="156"/>
      <c r="M83" s="156"/>
      <c r="N83" s="156"/>
      <c r="O83" s="156"/>
      <c r="P83" s="156"/>
      <c r="Q83" s="152"/>
      <c r="R83" s="152"/>
      <c r="S83" s="152"/>
      <c r="T83" s="152"/>
      <c r="U83" s="152"/>
      <c r="V83" s="152"/>
      <c r="W83" s="152"/>
      <c r="X83" s="152"/>
      <c r="Y83" s="149"/>
    </row>
    <row r="84" spans="3:25" s="151" customFormat="1" ht="12.75">
      <c r="C84" s="152"/>
      <c r="D84" s="152"/>
      <c r="E84" s="149"/>
      <c r="F84" s="152"/>
      <c r="G84" s="152"/>
      <c r="H84" s="152"/>
      <c r="I84" s="152"/>
      <c r="J84" s="156"/>
      <c r="K84" s="156"/>
      <c r="L84" s="156"/>
      <c r="M84" s="156"/>
      <c r="N84" s="156"/>
      <c r="O84" s="156"/>
      <c r="P84" s="156"/>
      <c r="Q84" s="152"/>
      <c r="R84" s="152"/>
      <c r="S84" s="152"/>
      <c r="T84" s="152"/>
      <c r="U84" s="152"/>
      <c r="V84" s="152"/>
      <c r="W84" s="152"/>
      <c r="X84" s="152"/>
      <c r="Y84" s="149"/>
    </row>
    <row r="85" spans="3:25" s="151" customFormat="1" ht="12.75">
      <c r="C85" s="152"/>
      <c r="D85" s="152"/>
      <c r="E85" s="149"/>
      <c r="F85" s="152"/>
      <c r="G85" s="152"/>
      <c r="H85" s="152"/>
      <c r="I85" s="152"/>
      <c r="J85" s="156"/>
      <c r="K85" s="156"/>
      <c r="L85" s="156"/>
      <c r="M85" s="156"/>
      <c r="N85" s="156"/>
      <c r="O85" s="156"/>
      <c r="P85" s="156"/>
      <c r="Q85" s="152"/>
      <c r="R85" s="152"/>
      <c r="S85" s="152"/>
      <c r="T85" s="152"/>
      <c r="U85" s="152"/>
      <c r="V85" s="152"/>
      <c r="W85" s="152"/>
      <c r="X85" s="152"/>
      <c r="Y85" s="149"/>
    </row>
    <row r="86" spans="3:25" s="151" customFormat="1" ht="12.75">
      <c r="C86" s="152"/>
      <c r="D86" s="152"/>
      <c r="E86" s="149"/>
      <c r="F86" s="152"/>
      <c r="G86" s="152"/>
      <c r="H86" s="152"/>
      <c r="I86" s="152"/>
      <c r="J86" s="156"/>
      <c r="K86" s="156"/>
      <c r="L86" s="156"/>
      <c r="M86" s="156"/>
      <c r="N86" s="156"/>
      <c r="O86" s="156"/>
      <c r="P86" s="156"/>
      <c r="Q86" s="152"/>
      <c r="R86" s="152"/>
      <c r="S86" s="152"/>
      <c r="T86" s="152"/>
      <c r="U86" s="152"/>
      <c r="V86" s="152"/>
      <c r="W86" s="152"/>
      <c r="X86" s="152"/>
      <c r="Y86" s="149"/>
    </row>
    <row r="87" spans="3:25" s="151" customFormat="1" ht="12.75">
      <c r="C87" s="152"/>
      <c r="D87" s="152"/>
      <c r="E87" s="149"/>
      <c r="F87" s="152"/>
      <c r="G87" s="152"/>
      <c r="H87" s="152"/>
      <c r="I87" s="152"/>
      <c r="J87" s="156"/>
      <c r="K87" s="156"/>
      <c r="L87" s="156"/>
      <c r="M87" s="156"/>
      <c r="N87" s="156"/>
      <c r="O87" s="156"/>
      <c r="P87" s="156"/>
      <c r="Q87" s="152"/>
      <c r="R87" s="152"/>
      <c r="S87" s="152"/>
      <c r="T87" s="152"/>
      <c r="U87" s="152"/>
      <c r="V87" s="152"/>
      <c r="W87" s="152"/>
      <c r="X87" s="152"/>
      <c r="Y87" s="149"/>
    </row>
    <row r="88" spans="3:25" s="151" customFormat="1" ht="12.75">
      <c r="C88" s="152"/>
      <c r="D88" s="152"/>
      <c r="E88" s="149"/>
      <c r="F88" s="152"/>
      <c r="G88" s="152"/>
      <c r="H88" s="152"/>
      <c r="I88" s="152"/>
      <c r="J88" s="156"/>
      <c r="K88" s="156"/>
      <c r="L88" s="156"/>
      <c r="M88" s="156"/>
      <c r="N88" s="156"/>
      <c r="O88" s="156"/>
      <c r="P88" s="156"/>
      <c r="Q88" s="152"/>
      <c r="R88" s="152"/>
      <c r="S88" s="152"/>
      <c r="T88" s="152"/>
      <c r="U88" s="152"/>
      <c r="V88" s="152"/>
      <c r="W88" s="152"/>
      <c r="X88" s="152"/>
      <c r="Y88" s="149"/>
    </row>
    <row r="89" spans="3:25" s="151" customFormat="1" ht="12.75">
      <c r="C89" s="152"/>
      <c r="D89" s="152"/>
      <c r="E89" s="149"/>
      <c r="F89" s="152"/>
      <c r="G89" s="152"/>
      <c r="H89" s="152"/>
      <c r="I89" s="152"/>
      <c r="J89" s="156"/>
      <c r="K89" s="156"/>
      <c r="L89" s="156"/>
      <c r="M89" s="156"/>
      <c r="N89" s="156"/>
      <c r="O89" s="156"/>
      <c r="P89" s="156"/>
      <c r="Q89" s="152"/>
      <c r="R89" s="152"/>
      <c r="S89" s="152"/>
      <c r="T89" s="152"/>
      <c r="U89" s="152"/>
      <c r="V89" s="152"/>
      <c r="W89" s="152"/>
      <c r="X89" s="152"/>
      <c r="Y89" s="149"/>
    </row>
    <row r="90" spans="3:25" s="151" customFormat="1" ht="12.75">
      <c r="C90" s="152"/>
      <c r="D90" s="152"/>
      <c r="E90" s="149"/>
      <c r="F90" s="152"/>
      <c r="G90" s="152"/>
      <c r="H90" s="152"/>
      <c r="I90" s="152"/>
      <c r="J90" s="156"/>
      <c r="K90" s="156"/>
      <c r="L90" s="156"/>
      <c r="M90" s="156"/>
      <c r="N90" s="156"/>
      <c r="O90" s="156"/>
      <c r="P90" s="156"/>
      <c r="Q90" s="152"/>
      <c r="R90" s="152"/>
      <c r="S90" s="152"/>
      <c r="T90" s="152"/>
      <c r="U90" s="152"/>
      <c r="V90" s="152"/>
      <c r="W90" s="152"/>
      <c r="X90" s="152"/>
      <c r="Y90" s="149"/>
    </row>
    <row r="91" spans="3:25" s="151" customFormat="1" ht="12.75">
      <c r="C91" s="152"/>
      <c r="D91" s="152"/>
      <c r="E91" s="149"/>
      <c r="F91" s="152"/>
      <c r="G91" s="152"/>
      <c r="H91" s="152"/>
      <c r="I91" s="152"/>
      <c r="J91" s="156"/>
      <c r="K91" s="156"/>
      <c r="L91" s="156"/>
      <c r="M91" s="156"/>
      <c r="N91" s="156"/>
      <c r="O91" s="156"/>
      <c r="P91" s="156"/>
      <c r="Q91" s="152"/>
      <c r="R91" s="152"/>
      <c r="S91" s="152"/>
      <c r="T91" s="152"/>
      <c r="U91" s="152"/>
      <c r="V91" s="152"/>
      <c r="W91" s="152"/>
      <c r="X91" s="152"/>
      <c r="Y91" s="149"/>
    </row>
    <row r="92" spans="3:25" s="151" customFormat="1" ht="12.75">
      <c r="C92" s="152"/>
      <c r="D92" s="152"/>
      <c r="E92" s="149"/>
      <c r="F92" s="152"/>
      <c r="G92" s="152"/>
      <c r="H92" s="152"/>
      <c r="I92" s="152"/>
      <c r="J92" s="156"/>
      <c r="K92" s="156"/>
      <c r="L92" s="156"/>
      <c r="M92" s="156"/>
      <c r="N92" s="156"/>
      <c r="O92" s="156"/>
      <c r="P92" s="156"/>
      <c r="Q92" s="152"/>
      <c r="R92" s="152"/>
      <c r="S92" s="152"/>
      <c r="T92" s="152"/>
      <c r="U92" s="152"/>
      <c r="V92" s="152"/>
      <c r="W92" s="152"/>
      <c r="X92" s="152"/>
      <c r="Y92" s="149"/>
    </row>
    <row r="93" spans="3:25" s="151" customFormat="1" ht="12.75">
      <c r="C93" s="152"/>
      <c r="D93" s="152"/>
      <c r="E93" s="149"/>
      <c r="F93" s="152"/>
      <c r="G93" s="152"/>
      <c r="H93" s="152"/>
      <c r="I93" s="152"/>
      <c r="J93" s="156"/>
      <c r="K93" s="156"/>
      <c r="L93" s="156"/>
      <c r="M93" s="156"/>
      <c r="N93" s="156"/>
      <c r="O93" s="156"/>
      <c r="P93" s="156"/>
      <c r="Q93" s="152"/>
      <c r="R93" s="152"/>
      <c r="S93" s="152"/>
      <c r="T93" s="152"/>
      <c r="U93" s="152"/>
      <c r="V93" s="152"/>
      <c r="W93" s="152"/>
      <c r="X93" s="152"/>
      <c r="Y93" s="149"/>
    </row>
    <row r="94" spans="3:25" s="151" customFormat="1" ht="12.75">
      <c r="C94" s="152"/>
      <c r="D94" s="152"/>
      <c r="E94" s="149"/>
      <c r="F94" s="152"/>
      <c r="G94" s="152"/>
      <c r="H94" s="152"/>
      <c r="I94" s="152"/>
      <c r="J94" s="156"/>
      <c r="K94" s="156"/>
      <c r="L94" s="156"/>
      <c r="M94" s="156"/>
      <c r="N94" s="156"/>
      <c r="O94" s="156"/>
      <c r="P94" s="156"/>
      <c r="Q94" s="152"/>
      <c r="R94" s="152"/>
      <c r="S94" s="152"/>
      <c r="T94" s="152"/>
      <c r="U94" s="152"/>
      <c r="V94" s="152"/>
      <c r="W94" s="152"/>
      <c r="X94" s="152"/>
      <c r="Y94" s="149"/>
    </row>
    <row r="95" spans="3:25" s="151" customFormat="1" ht="12.75">
      <c r="C95" s="152"/>
      <c r="D95" s="152"/>
      <c r="E95" s="149"/>
      <c r="F95" s="152"/>
      <c r="G95" s="152"/>
      <c r="H95" s="152"/>
      <c r="I95" s="152"/>
      <c r="J95" s="156"/>
      <c r="K95" s="156"/>
      <c r="L95" s="156"/>
      <c r="M95" s="156"/>
      <c r="N95" s="156"/>
      <c r="O95" s="156"/>
      <c r="P95" s="156"/>
      <c r="Q95" s="152"/>
      <c r="R95" s="152"/>
      <c r="S95" s="152"/>
      <c r="T95" s="152"/>
      <c r="U95" s="152"/>
      <c r="V95" s="152"/>
      <c r="W95" s="152"/>
      <c r="X95" s="152"/>
      <c r="Y95" s="149"/>
    </row>
    <row r="96" spans="3:25" s="151" customFormat="1" ht="12.75">
      <c r="C96" s="152"/>
      <c r="D96" s="152"/>
      <c r="E96" s="149"/>
      <c r="F96" s="152"/>
      <c r="G96" s="152"/>
      <c r="H96" s="152"/>
      <c r="I96" s="152"/>
      <c r="J96" s="156"/>
      <c r="K96" s="156"/>
      <c r="L96" s="156"/>
      <c r="M96" s="156"/>
      <c r="N96" s="156"/>
      <c r="O96" s="156"/>
      <c r="P96" s="156"/>
      <c r="Q96" s="152"/>
      <c r="R96" s="152"/>
      <c r="S96" s="152"/>
      <c r="T96" s="152"/>
      <c r="U96" s="152"/>
      <c r="V96" s="152"/>
      <c r="W96" s="152"/>
      <c r="X96" s="152"/>
      <c r="Y96" s="149"/>
    </row>
    <row r="97" spans="3:25" s="151" customFormat="1" ht="12.75">
      <c r="C97" s="152"/>
      <c r="D97" s="152"/>
      <c r="E97" s="149"/>
      <c r="F97" s="152"/>
      <c r="G97" s="152"/>
      <c r="H97" s="152"/>
      <c r="I97" s="152"/>
      <c r="J97" s="156"/>
      <c r="K97" s="156"/>
      <c r="L97" s="156"/>
      <c r="M97" s="156"/>
      <c r="N97" s="156"/>
      <c r="O97" s="156"/>
      <c r="P97" s="156"/>
      <c r="Q97" s="152"/>
      <c r="R97" s="152"/>
      <c r="S97" s="152"/>
      <c r="T97" s="152"/>
      <c r="U97" s="152"/>
      <c r="V97" s="152"/>
      <c r="W97" s="152"/>
      <c r="X97" s="152"/>
      <c r="Y97" s="149"/>
    </row>
    <row r="98" spans="3:25" s="151" customFormat="1" ht="12.75">
      <c r="C98" s="152"/>
      <c r="D98" s="152"/>
      <c r="E98" s="149"/>
      <c r="F98" s="152"/>
      <c r="G98" s="152"/>
      <c r="H98" s="152"/>
      <c r="I98" s="152"/>
      <c r="J98" s="156"/>
      <c r="K98" s="156"/>
      <c r="L98" s="156"/>
      <c r="M98" s="156"/>
      <c r="N98" s="156"/>
      <c r="O98" s="156"/>
      <c r="P98" s="156"/>
      <c r="Q98" s="152"/>
      <c r="R98" s="152"/>
      <c r="S98" s="152"/>
      <c r="T98" s="152"/>
      <c r="U98" s="152"/>
      <c r="V98" s="152"/>
      <c r="W98" s="152"/>
      <c r="X98" s="152"/>
      <c r="Y98" s="149"/>
    </row>
    <row r="99" spans="3:25" s="151" customFormat="1" ht="12.75">
      <c r="C99" s="152"/>
      <c r="D99" s="152"/>
      <c r="E99" s="149"/>
      <c r="F99" s="152"/>
      <c r="G99" s="152"/>
      <c r="H99" s="152"/>
      <c r="I99" s="152"/>
      <c r="J99" s="156"/>
      <c r="K99" s="156"/>
      <c r="L99" s="156"/>
      <c r="M99" s="156"/>
      <c r="N99" s="156"/>
      <c r="O99" s="156"/>
      <c r="P99" s="156"/>
      <c r="Q99" s="152"/>
      <c r="R99" s="152"/>
      <c r="S99" s="152"/>
      <c r="T99" s="152"/>
      <c r="U99" s="152"/>
      <c r="V99" s="152"/>
      <c r="W99" s="152"/>
      <c r="X99" s="152"/>
      <c r="Y99" s="149"/>
    </row>
    <row r="100" spans="3:25" s="151" customFormat="1" ht="12.75">
      <c r="C100" s="152"/>
      <c r="D100" s="152"/>
      <c r="E100" s="149"/>
      <c r="F100" s="152"/>
      <c r="G100" s="152"/>
      <c r="H100" s="152"/>
      <c r="I100" s="152"/>
      <c r="J100" s="156"/>
      <c r="K100" s="156"/>
      <c r="L100" s="156"/>
      <c r="M100" s="156"/>
      <c r="N100" s="156"/>
      <c r="O100" s="156"/>
      <c r="P100" s="156"/>
      <c r="Q100" s="152"/>
      <c r="R100" s="152"/>
      <c r="S100" s="152"/>
      <c r="T100" s="152"/>
      <c r="U100" s="152"/>
      <c r="V100" s="152"/>
      <c r="W100" s="152"/>
      <c r="X100" s="152"/>
      <c r="Y100" s="149"/>
    </row>
    <row r="101" spans="3:25" s="151" customFormat="1" ht="12.75">
      <c r="C101" s="152"/>
      <c r="D101" s="152"/>
      <c r="E101" s="149"/>
      <c r="F101" s="152"/>
      <c r="G101" s="152"/>
      <c r="H101" s="152"/>
      <c r="I101" s="152"/>
      <c r="J101" s="156"/>
      <c r="K101" s="156"/>
      <c r="L101" s="156"/>
      <c r="M101" s="156"/>
      <c r="N101" s="156"/>
      <c r="O101" s="156"/>
      <c r="P101" s="156"/>
      <c r="Q101" s="152"/>
      <c r="R101" s="152"/>
      <c r="S101" s="152"/>
      <c r="T101" s="152"/>
      <c r="U101" s="152"/>
      <c r="V101" s="152"/>
      <c r="W101" s="152"/>
      <c r="X101" s="152"/>
      <c r="Y101" s="149"/>
    </row>
    <row r="102" spans="3:25" s="151" customFormat="1" ht="12.75">
      <c r="C102" s="152"/>
      <c r="D102" s="152"/>
      <c r="E102" s="149"/>
      <c r="F102" s="152"/>
      <c r="G102" s="152"/>
      <c r="H102" s="152"/>
      <c r="I102" s="152"/>
      <c r="J102" s="156"/>
      <c r="K102" s="156"/>
      <c r="L102" s="156"/>
      <c r="M102" s="156"/>
      <c r="N102" s="156"/>
      <c r="O102" s="156"/>
      <c r="P102" s="156"/>
      <c r="Q102" s="152"/>
      <c r="R102" s="152"/>
      <c r="S102" s="152"/>
      <c r="T102" s="152"/>
      <c r="U102" s="152"/>
      <c r="V102" s="152"/>
      <c r="W102" s="152"/>
      <c r="X102" s="152"/>
      <c r="Y102" s="149"/>
    </row>
    <row r="103" spans="3:25" s="151" customFormat="1" ht="12.75">
      <c r="C103" s="152"/>
      <c r="D103" s="152"/>
      <c r="E103" s="149"/>
      <c r="F103" s="152"/>
      <c r="G103" s="152"/>
      <c r="H103" s="152"/>
      <c r="I103" s="152"/>
      <c r="J103" s="156"/>
      <c r="K103" s="156"/>
      <c r="L103" s="156"/>
      <c r="M103" s="156"/>
      <c r="N103" s="156"/>
      <c r="O103" s="156"/>
      <c r="P103" s="156"/>
      <c r="Q103" s="152"/>
      <c r="R103" s="152"/>
      <c r="S103" s="152"/>
      <c r="T103" s="152"/>
      <c r="U103" s="152"/>
      <c r="V103" s="152"/>
      <c r="W103" s="152"/>
      <c r="X103" s="152"/>
      <c r="Y103" s="149"/>
    </row>
    <row r="104" spans="3:25" s="151" customFormat="1" ht="12.75">
      <c r="C104" s="152"/>
      <c r="D104" s="152"/>
      <c r="E104" s="149"/>
      <c r="F104" s="152"/>
      <c r="G104" s="152"/>
      <c r="H104" s="152"/>
      <c r="I104" s="152"/>
      <c r="J104" s="156"/>
      <c r="K104" s="156"/>
      <c r="L104" s="156"/>
      <c r="M104" s="156"/>
      <c r="N104" s="156"/>
      <c r="O104" s="156"/>
      <c r="P104" s="156"/>
      <c r="Q104" s="152"/>
      <c r="R104" s="152"/>
      <c r="S104" s="152"/>
      <c r="T104" s="152"/>
      <c r="U104" s="152"/>
      <c r="V104" s="152"/>
      <c r="W104" s="152"/>
      <c r="X104" s="152"/>
      <c r="Y104" s="149"/>
    </row>
    <row r="105" spans="3:25" s="151" customFormat="1" ht="12.75">
      <c r="C105" s="152"/>
      <c r="D105" s="152"/>
      <c r="E105" s="149"/>
      <c r="F105" s="152"/>
      <c r="G105" s="152"/>
      <c r="H105" s="152"/>
      <c r="I105" s="152"/>
      <c r="J105" s="156"/>
      <c r="K105" s="156"/>
      <c r="L105" s="156"/>
      <c r="M105" s="156"/>
      <c r="N105" s="156"/>
      <c r="O105" s="156"/>
      <c r="P105" s="156"/>
      <c r="Q105" s="152"/>
      <c r="R105" s="152"/>
      <c r="S105" s="152"/>
      <c r="T105" s="152"/>
      <c r="U105" s="152"/>
      <c r="V105" s="152"/>
      <c r="W105" s="152"/>
      <c r="X105" s="152"/>
      <c r="Y105" s="149"/>
    </row>
    <row r="106" spans="3:25" s="151" customFormat="1" ht="12.75">
      <c r="C106" s="152"/>
      <c r="D106" s="152"/>
      <c r="E106" s="149"/>
      <c r="F106" s="152"/>
      <c r="G106" s="152"/>
      <c r="H106" s="152"/>
      <c r="I106" s="152"/>
      <c r="J106" s="156"/>
      <c r="K106" s="156"/>
      <c r="L106" s="156"/>
      <c r="M106" s="156"/>
      <c r="N106" s="156"/>
      <c r="O106" s="156"/>
      <c r="P106" s="156"/>
      <c r="Q106" s="152"/>
      <c r="R106" s="152"/>
      <c r="S106" s="152"/>
      <c r="T106" s="152"/>
      <c r="U106" s="152"/>
      <c r="V106" s="152"/>
      <c r="W106" s="152"/>
      <c r="X106" s="152"/>
      <c r="Y106" s="149"/>
    </row>
    <row r="107" spans="3:25" s="151" customFormat="1" ht="12.75">
      <c r="C107" s="152"/>
      <c r="D107" s="152"/>
      <c r="E107" s="149"/>
      <c r="F107" s="152"/>
      <c r="G107" s="152"/>
      <c r="H107" s="152"/>
      <c r="I107" s="152"/>
      <c r="J107" s="156"/>
      <c r="K107" s="156"/>
      <c r="L107" s="156"/>
      <c r="M107" s="156"/>
      <c r="N107" s="156"/>
      <c r="O107" s="156"/>
      <c r="P107" s="156"/>
      <c r="Q107" s="152"/>
      <c r="R107" s="152"/>
      <c r="S107" s="152"/>
      <c r="T107" s="152"/>
      <c r="U107" s="152"/>
      <c r="V107" s="152"/>
      <c r="W107" s="152"/>
      <c r="X107" s="152"/>
      <c r="Y107" s="149"/>
    </row>
    <row r="108" spans="3:25" s="151" customFormat="1" ht="12.75">
      <c r="C108" s="152"/>
      <c r="D108" s="152"/>
      <c r="E108" s="149"/>
      <c r="F108" s="152"/>
      <c r="G108" s="152"/>
      <c r="H108" s="152"/>
      <c r="I108" s="152"/>
      <c r="J108" s="156"/>
      <c r="K108" s="156"/>
      <c r="L108" s="156"/>
      <c r="M108" s="156"/>
      <c r="N108" s="156"/>
      <c r="O108" s="156"/>
      <c r="P108" s="156"/>
      <c r="Q108" s="152"/>
      <c r="R108" s="152"/>
      <c r="S108" s="152"/>
      <c r="T108" s="152"/>
      <c r="U108" s="152"/>
      <c r="V108" s="152"/>
      <c r="W108" s="152"/>
      <c r="X108" s="152"/>
      <c r="Y108" s="149"/>
    </row>
    <row r="109" spans="3:25" s="151" customFormat="1" ht="12.75">
      <c r="C109" s="152"/>
      <c r="D109" s="152"/>
      <c r="E109" s="149"/>
      <c r="F109" s="152"/>
      <c r="G109" s="152"/>
      <c r="H109" s="152"/>
      <c r="I109" s="152"/>
      <c r="J109" s="156"/>
      <c r="K109" s="156"/>
      <c r="L109" s="156"/>
      <c r="M109" s="156"/>
      <c r="N109" s="156"/>
      <c r="O109" s="156"/>
      <c r="P109" s="156"/>
      <c r="Q109" s="152"/>
      <c r="R109" s="152"/>
      <c r="S109" s="152"/>
      <c r="T109" s="152"/>
      <c r="U109" s="152"/>
      <c r="V109" s="152"/>
      <c r="W109" s="152"/>
      <c r="X109" s="152"/>
      <c r="Y109" s="149"/>
    </row>
    <row r="110" spans="3:25" s="151" customFormat="1" ht="12.75">
      <c r="C110" s="152"/>
      <c r="D110" s="152"/>
      <c r="E110" s="149"/>
      <c r="F110" s="152"/>
      <c r="G110" s="152"/>
      <c r="H110" s="152"/>
      <c r="I110" s="152"/>
      <c r="J110" s="156"/>
      <c r="K110" s="156"/>
      <c r="L110" s="156"/>
      <c r="M110" s="156"/>
      <c r="N110" s="156"/>
      <c r="O110" s="156"/>
      <c r="P110" s="156"/>
      <c r="Q110" s="152"/>
      <c r="R110" s="152"/>
      <c r="S110" s="152"/>
      <c r="T110" s="152"/>
      <c r="U110" s="152"/>
      <c r="V110" s="152"/>
      <c r="W110" s="152"/>
      <c r="X110" s="152"/>
      <c r="Y110" s="149"/>
    </row>
    <row r="111" spans="3:25" s="151" customFormat="1" ht="12.75">
      <c r="C111" s="152"/>
      <c r="D111" s="152"/>
      <c r="E111" s="149"/>
      <c r="F111" s="152"/>
      <c r="G111" s="152"/>
      <c r="H111" s="152"/>
      <c r="I111" s="152"/>
      <c r="J111" s="156"/>
      <c r="K111" s="156"/>
      <c r="L111" s="156"/>
      <c r="M111" s="156"/>
      <c r="N111" s="156"/>
      <c r="O111" s="156"/>
      <c r="P111" s="156"/>
      <c r="Q111" s="152"/>
      <c r="R111" s="152"/>
      <c r="S111" s="152"/>
      <c r="T111" s="152"/>
      <c r="U111" s="152"/>
      <c r="V111" s="152"/>
      <c r="W111" s="152"/>
      <c r="X111" s="152"/>
      <c r="Y111" s="149"/>
    </row>
    <row r="112" spans="3:25" s="151" customFormat="1" ht="12.75">
      <c r="C112" s="152"/>
      <c r="D112" s="152"/>
      <c r="E112" s="149"/>
      <c r="F112" s="152"/>
      <c r="G112" s="152"/>
      <c r="H112" s="152"/>
      <c r="I112" s="152"/>
      <c r="J112" s="156"/>
      <c r="K112" s="156"/>
      <c r="L112" s="156"/>
      <c r="M112" s="156"/>
      <c r="N112" s="156"/>
      <c r="O112" s="156"/>
      <c r="P112" s="156"/>
      <c r="Q112" s="152"/>
      <c r="R112" s="152"/>
      <c r="S112" s="152"/>
      <c r="T112" s="152"/>
      <c r="U112" s="152"/>
      <c r="V112" s="152"/>
      <c r="W112" s="152"/>
      <c r="X112" s="152"/>
      <c r="Y112" s="149"/>
    </row>
    <row r="113" spans="3:25" s="151" customFormat="1" ht="12.75">
      <c r="C113" s="152"/>
      <c r="D113" s="152"/>
      <c r="E113" s="149"/>
      <c r="F113" s="152"/>
      <c r="G113" s="152"/>
      <c r="H113" s="152"/>
      <c r="I113" s="152"/>
      <c r="J113" s="156"/>
      <c r="K113" s="156"/>
      <c r="L113" s="156"/>
      <c r="M113" s="156"/>
      <c r="N113" s="156"/>
      <c r="O113" s="156"/>
      <c r="P113" s="156"/>
      <c r="Q113" s="152"/>
      <c r="R113" s="152"/>
      <c r="S113" s="152"/>
      <c r="T113" s="152"/>
      <c r="U113" s="152"/>
      <c r="V113" s="152"/>
      <c r="W113" s="152"/>
      <c r="X113" s="152"/>
      <c r="Y113" s="149"/>
    </row>
    <row r="114" spans="3:25" s="151" customFormat="1" ht="12.75">
      <c r="C114" s="152"/>
      <c r="D114" s="152"/>
      <c r="E114" s="149"/>
      <c r="F114" s="152"/>
      <c r="G114" s="152"/>
      <c r="H114" s="152"/>
      <c r="I114" s="152"/>
      <c r="J114" s="156"/>
      <c r="K114" s="156"/>
      <c r="L114" s="156"/>
      <c r="M114" s="156"/>
      <c r="N114" s="156"/>
      <c r="O114" s="156"/>
      <c r="P114" s="156"/>
      <c r="Q114" s="152"/>
      <c r="R114" s="152"/>
      <c r="S114" s="152"/>
      <c r="T114" s="152"/>
      <c r="U114" s="152"/>
      <c r="V114" s="152"/>
      <c r="W114" s="152"/>
      <c r="X114" s="152"/>
      <c r="Y114" s="149"/>
    </row>
    <row r="115" spans="3:25" s="151" customFormat="1" ht="12.75">
      <c r="C115" s="152"/>
      <c r="D115" s="152"/>
      <c r="E115" s="149"/>
      <c r="F115" s="152"/>
      <c r="G115" s="152"/>
      <c r="H115" s="152"/>
      <c r="I115" s="152"/>
      <c r="J115" s="156"/>
      <c r="K115" s="156"/>
      <c r="L115" s="156"/>
      <c r="M115" s="156"/>
      <c r="N115" s="156"/>
      <c r="O115" s="156"/>
      <c r="P115" s="156"/>
      <c r="Q115" s="152"/>
      <c r="R115" s="152"/>
      <c r="S115" s="152"/>
      <c r="T115" s="152"/>
      <c r="U115" s="152"/>
      <c r="V115" s="152"/>
      <c r="W115" s="152"/>
      <c r="X115" s="152"/>
      <c r="Y115" s="149"/>
    </row>
    <row r="116" spans="3:25" s="151" customFormat="1" ht="12.75">
      <c r="C116" s="152"/>
      <c r="D116" s="152"/>
      <c r="E116" s="149"/>
      <c r="F116" s="152"/>
      <c r="G116" s="152"/>
      <c r="H116" s="152"/>
      <c r="I116" s="152"/>
      <c r="J116" s="156"/>
      <c r="K116" s="156"/>
      <c r="L116" s="156"/>
      <c r="M116" s="156"/>
      <c r="N116" s="156"/>
      <c r="O116" s="156"/>
      <c r="P116" s="156"/>
      <c r="Q116" s="152"/>
      <c r="R116" s="152"/>
      <c r="S116" s="152"/>
      <c r="T116" s="152"/>
      <c r="U116" s="152"/>
      <c r="V116" s="152"/>
      <c r="W116" s="152"/>
      <c r="X116" s="152"/>
      <c r="Y116" s="149"/>
    </row>
    <row r="117" spans="3:25" s="151" customFormat="1" ht="12.75">
      <c r="C117" s="152"/>
      <c r="D117" s="152"/>
      <c r="E117" s="149"/>
      <c r="F117" s="152"/>
      <c r="G117" s="152"/>
      <c r="H117" s="152"/>
      <c r="I117" s="152"/>
      <c r="J117" s="156"/>
      <c r="K117" s="156"/>
      <c r="L117" s="156"/>
      <c r="M117" s="156"/>
      <c r="N117" s="156"/>
      <c r="O117" s="156"/>
      <c r="P117" s="156"/>
      <c r="Q117" s="152"/>
      <c r="R117" s="152"/>
      <c r="S117" s="152"/>
      <c r="T117" s="152"/>
      <c r="U117" s="152"/>
      <c r="V117" s="152"/>
      <c r="W117" s="152"/>
      <c r="X117" s="152"/>
      <c r="Y117" s="149"/>
    </row>
    <row r="118" spans="3:25" s="151" customFormat="1" ht="12.75">
      <c r="C118" s="152"/>
      <c r="D118" s="152"/>
      <c r="E118" s="149"/>
      <c r="F118" s="152"/>
      <c r="G118" s="152"/>
      <c r="H118" s="152"/>
      <c r="I118" s="152"/>
      <c r="J118" s="156"/>
      <c r="K118" s="156"/>
      <c r="L118" s="156"/>
      <c r="M118" s="156"/>
      <c r="N118" s="156"/>
      <c r="O118" s="156"/>
      <c r="P118" s="156"/>
      <c r="Q118" s="152"/>
      <c r="R118" s="152"/>
      <c r="S118" s="152"/>
      <c r="T118" s="152"/>
      <c r="U118" s="152"/>
      <c r="V118" s="152"/>
      <c r="W118" s="152"/>
      <c r="X118" s="152"/>
      <c r="Y118" s="149"/>
    </row>
    <row r="119" spans="3:25" s="151" customFormat="1" ht="12.75">
      <c r="C119" s="152"/>
      <c r="D119" s="152"/>
      <c r="E119" s="149"/>
      <c r="F119" s="152"/>
      <c r="G119" s="152"/>
      <c r="H119" s="152"/>
      <c r="I119" s="152"/>
      <c r="J119" s="156"/>
      <c r="K119" s="156"/>
      <c r="L119" s="156"/>
      <c r="M119" s="156"/>
      <c r="N119" s="156"/>
      <c r="O119" s="156"/>
      <c r="P119" s="156"/>
      <c r="Q119" s="152"/>
      <c r="R119" s="152"/>
      <c r="S119" s="152"/>
      <c r="T119" s="152"/>
      <c r="U119" s="152"/>
      <c r="V119" s="152"/>
      <c r="W119" s="152"/>
      <c r="X119" s="152"/>
      <c r="Y119" s="149"/>
    </row>
    <row r="120" spans="3:25" s="151" customFormat="1" ht="12.75">
      <c r="C120" s="152"/>
      <c r="D120" s="152"/>
      <c r="E120" s="149"/>
      <c r="F120" s="152"/>
      <c r="G120" s="152"/>
      <c r="H120" s="152"/>
      <c r="I120" s="152"/>
      <c r="J120" s="156"/>
      <c r="K120" s="156"/>
      <c r="L120" s="156"/>
      <c r="M120" s="156"/>
      <c r="N120" s="156"/>
      <c r="O120" s="156"/>
      <c r="P120" s="156"/>
      <c r="Q120" s="152"/>
      <c r="R120" s="152"/>
      <c r="S120" s="152"/>
      <c r="T120" s="152"/>
      <c r="U120" s="152"/>
      <c r="V120" s="152"/>
      <c r="W120" s="152"/>
      <c r="X120" s="152"/>
      <c r="Y120" s="149"/>
    </row>
    <row r="121" spans="3:25" s="151" customFormat="1" ht="12.75">
      <c r="C121" s="152"/>
      <c r="D121" s="152"/>
      <c r="E121" s="149"/>
      <c r="F121" s="152"/>
      <c r="G121" s="152"/>
      <c r="H121" s="152"/>
      <c r="I121" s="152"/>
      <c r="J121" s="156"/>
      <c r="K121" s="156"/>
      <c r="L121" s="156"/>
      <c r="M121" s="156"/>
      <c r="N121" s="156"/>
      <c r="O121" s="156"/>
      <c r="P121" s="156"/>
      <c r="Q121" s="152"/>
      <c r="R121" s="152"/>
      <c r="S121" s="152"/>
      <c r="T121" s="152"/>
      <c r="U121" s="152"/>
      <c r="V121" s="152"/>
      <c r="W121" s="152"/>
      <c r="X121" s="152"/>
      <c r="Y121" s="149"/>
    </row>
    <row r="122" spans="3:25" s="151" customFormat="1" ht="12.75">
      <c r="C122" s="152"/>
      <c r="D122" s="152"/>
      <c r="E122" s="149"/>
      <c r="F122" s="152"/>
      <c r="G122" s="152"/>
      <c r="H122" s="152"/>
      <c r="I122" s="152"/>
      <c r="J122" s="156"/>
      <c r="K122" s="156"/>
      <c r="L122" s="156"/>
      <c r="M122" s="156"/>
      <c r="N122" s="156"/>
      <c r="O122" s="156"/>
      <c r="P122" s="156"/>
      <c r="Q122" s="152"/>
      <c r="R122" s="152"/>
      <c r="S122" s="152"/>
      <c r="T122" s="152"/>
      <c r="U122" s="152"/>
      <c r="V122" s="152"/>
      <c r="W122" s="152"/>
      <c r="X122" s="152"/>
      <c r="Y122" s="149"/>
    </row>
    <row r="123" spans="3:25" s="151" customFormat="1" ht="12.75">
      <c r="C123" s="152"/>
      <c r="D123" s="152"/>
      <c r="E123" s="149"/>
      <c r="F123" s="152"/>
      <c r="G123" s="152"/>
      <c r="H123" s="152"/>
      <c r="I123" s="152"/>
      <c r="J123" s="156"/>
      <c r="K123" s="156"/>
      <c r="L123" s="156"/>
      <c r="M123" s="156"/>
      <c r="N123" s="156"/>
      <c r="O123" s="156"/>
      <c r="P123" s="156"/>
      <c r="Q123" s="152"/>
      <c r="R123" s="152"/>
      <c r="S123" s="152"/>
      <c r="T123" s="152"/>
      <c r="U123" s="152"/>
      <c r="V123" s="152"/>
      <c r="W123" s="152"/>
      <c r="X123" s="152"/>
      <c r="Y123" s="149"/>
    </row>
    <row r="124" spans="3:25" s="151" customFormat="1" ht="12.75">
      <c r="C124" s="152"/>
      <c r="D124" s="152"/>
      <c r="E124" s="149"/>
      <c r="F124" s="152"/>
      <c r="G124" s="152"/>
      <c r="H124" s="152"/>
      <c r="I124" s="152"/>
      <c r="J124" s="156"/>
      <c r="K124" s="156"/>
      <c r="L124" s="156"/>
      <c r="M124" s="156"/>
      <c r="N124" s="156"/>
      <c r="O124" s="156"/>
      <c r="P124" s="156"/>
      <c r="Q124" s="152"/>
      <c r="R124" s="152"/>
      <c r="S124" s="152"/>
      <c r="T124" s="152"/>
      <c r="U124" s="152"/>
      <c r="V124" s="152"/>
      <c r="W124" s="152"/>
      <c r="X124" s="152"/>
      <c r="Y124" s="149"/>
    </row>
    <row r="125" spans="3:25" s="151" customFormat="1" ht="12.75">
      <c r="C125" s="152"/>
      <c r="D125" s="152"/>
      <c r="E125" s="149"/>
      <c r="F125" s="152"/>
      <c r="G125" s="152"/>
      <c r="H125" s="152"/>
      <c r="I125" s="152"/>
      <c r="J125" s="156"/>
      <c r="K125" s="156"/>
      <c r="L125" s="156"/>
      <c r="M125" s="156"/>
      <c r="N125" s="156"/>
      <c r="O125" s="156"/>
      <c r="P125" s="156"/>
      <c r="Q125" s="152"/>
      <c r="R125" s="152"/>
      <c r="S125" s="152"/>
      <c r="T125" s="152"/>
      <c r="U125" s="152"/>
      <c r="V125" s="152"/>
      <c r="W125" s="152"/>
      <c r="X125" s="152"/>
      <c r="Y125" s="149"/>
    </row>
    <row r="126" spans="3:25" s="151" customFormat="1" ht="12.75">
      <c r="C126" s="152"/>
      <c r="D126" s="152"/>
      <c r="E126" s="149"/>
      <c r="F126" s="152"/>
      <c r="G126" s="152"/>
      <c r="H126" s="152"/>
      <c r="I126" s="152"/>
      <c r="J126" s="156"/>
      <c r="K126" s="156"/>
      <c r="L126" s="156"/>
      <c r="M126" s="156"/>
      <c r="N126" s="156"/>
      <c r="O126" s="156"/>
      <c r="P126" s="156"/>
      <c r="Q126" s="152"/>
      <c r="R126" s="152"/>
      <c r="S126" s="152"/>
      <c r="T126" s="152"/>
      <c r="U126" s="152"/>
      <c r="V126" s="152"/>
      <c r="W126" s="152"/>
      <c r="X126" s="152"/>
      <c r="Y126" s="149"/>
    </row>
    <row r="127" spans="3:25" s="151" customFormat="1" ht="12.75">
      <c r="C127" s="152"/>
      <c r="D127" s="152"/>
      <c r="E127" s="149"/>
      <c r="F127" s="152"/>
      <c r="G127" s="152"/>
      <c r="H127" s="152"/>
      <c r="I127" s="152"/>
      <c r="J127" s="156"/>
      <c r="K127" s="156"/>
      <c r="L127" s="156"/>
      <c r="M127" s="156"/>
      <c r="N127" s="156"/>
      <c r="O127" s="156"/>
      <c r="P127" s="156"/>
      <c r="Q127" s="152"/>
      <c r="R127" s="152"/>
      <c r="S127" s="152"/>
      <c r="T127" s="152"/>
      <c r="U127" s="152"/>
      <c r="V127" s="152"/>
      <c r="W127" s="152"/>
      <c r="X127" s="152"/>
      <c r="Y127" s="149"/>
    </row>
    <row r="128" spans="3:25" s="151" customFormat="1" ht="12.75">
      <c r="C128" s="152"/>
      <c r="D128" s="152"/>
      <c r="E128" s="149"/>
      <c r="F128" s="152"/>
      <c r="G128" s="152"/>
      <c r="H128" s="152"/>
      <c r="I128" s="152"/>
      <c r="J128" s="156"/>
      <c r="K128" s="156"/>
      <c r="L128" s="156"/>
      <c r="M128" s="156"/>
      <c r="N128" s="156"/>
      <c r="O128" s="156"/>
      <c r="P128" s="156"/>
      <c r="Q128" s="152"/>
      <c r="R128" s="152"/>
      <c r="S128" s="152"/>
      <c r="T128" s="152"/>
      <c r="U128" s="152"/>
      <c r="V128" s="152"/>
      <c r="W128" s="152"/>
      <c r="X128" s="152"/>
      <c r="Y128" s="149"/>
    </row>
    <row r="129" spans="3:25" s="151" customFormat="1" ht="12.75">
      <c r="C129" s="152"/>
      <c r="D129" s="152"/>
      <c r="E129" s="149"/>
      <c r="F129" s="152"/>
      <c r="G129" s="152"/>
      <c r="H129" s="152"/>
      <c r="I129" s="152"/>
      <c r="J129" s="156"/>
      <c r="K129" s="156"/>
      <c r="L129" s="156"/>
      <c r="M129" s="156"/>
      <c r="N129" s="156"/>
      <c r="O129" s="156"/>
      <c r="P129" s="156"/>
      <c r="Q129" s="152"/>
      <c r="R129" s="152"/>
      <c r="S129" s="152"/>
      <c r="T129" s="152"/>
      <c r="U129" s="152"/>
      <c r="V129" s="152"/>
      <c r="W129" s="152"/>
      <c r="X129" s="152"/>
      <c r="Y129" s="149"/>
    </row>
    <row r="130" spans="3:25" s="151" customFormat="1" ht="12.75">
      <c r="C130" s="152"/>
      <c r="D130" s="152"/>
      <c r="E130" s="149"/>
      <c r="F130" s="152"/>
      <c r="G130" s="152"/>
      <c r="H130" s="152"/>
      <c r="I130" s="152"/>
      <c r="J130" s="156"/>
      <c r="K130" s="156"/>
      <c r="L130" s="156"/>
      <c r="M130" s="156"/>
      <c r="N130" s="156"/>
      <c r="O130" s="156"/>
      <c r="P130" s="156"/>
      <c r="Q130" s="152"/>
      <c r="R130" s="152"/>
      <c r="S130" s="152"/>
      <c r="T130" s="152"/>
      <c r="U130" s="152"/>
      <c r="V130" s="152"/>
      <c r="W130" s="152"/>
      <c r="X130" s="152"/>
      <c r="Y130" s="149"/>
    </row>
    <row r="131" spans="3:25" s="151" customFormat="1" ht="12.75">
      <c r="C131" s="152"/>
      <c r="D131" s="152"/>
      <c r="E131" s="149"/>
      <c r="F131" s="152"/>
      <c r="G131" s="152"/>
      <c r="H131" s="152"/>
      <c r="I131" s="152"/>
      <c r="J131" s="156"/>
      <c r="K131" s="156"/>
      <c r="L131" s="156"/>
      <c r="M131" s="156"/>
      <c r="N131" s="156"/>
      <c r="O131" s="156"/>
      <c r="P131" s="156"/>
      <c r="Q131" s="152"/>
      <c r="R131" s="152"/>
      <c r="S131" s="152"/>
      <c r="T131" s="152"/>
      <c r="U131" s="152"/>
      <c r="V131" s="152"/>
      <c r="W131" s="152"/>
      <c r="X131" s="152"/>
      <c r="Y131" s="149"/>
    </row>
    <row r="132" spans="3:25" s="151" customFormat="1" ht="12.75">
      <c r="C132" s="152"/>
      <c r="D132" s="152"/>
      <c r="E132" s="149"/>
      <c r="F132" s="152"/>
      <c r="G132" s="152"/>
      <c r="H132" s="152"/>
      <c r="I132" s="152"/>
      <c r="J132" s="156"/>
      <c r="K132" s="156"/>
      <c r="L132" s="156"/>
      <c r="M132" s="156"/>
      <c r="N132" s="156"/>
      <c r="O132" s="156"/>
      <c r="P132" s="156"/>
      <c r="Q132" s="152"/>
      <c r="R132" s="152"/>
      <c r="S132" s="152"/>
      <c r="T132" s="152"/>
      <c r="U132" s="152"/>
      <c r="V132" s="152"/>
      <c r="W132" s="152"/>
      <c r="X132" s="152"/>
      <c r="Y132" s="149"/>
    </row>
    <row r="133" spans="3:25" s="151" customFormat="1" ht="12.75">
      <c r="C133" s="152"/>
      <c r="D133" s="152"/>
      <c r="E133" s="149"/>
      <c r="F133" s="152"/>
      <c r="G133" s="152"/>
      <c r="H133" s="152"/>
      <c r="I133" s="152"/>
      <c r="J133" s="156"/>
      <c r="K133" s="156"/>
      <c r="L133" s="156"/>
      <c r="M133" s="156"/>
      <c r="N133" s="156"/>
      <c r="O133" s="156"/>
      <c r="P133" s="156"/>
      <c r="Q133" s="152"/>
      <c r="R133" s="152"/>
      <c r="S133" s="152"/>
      <c r="T133" s="152"/>
      <c r="U133" s="152"/>
      <c r="V133" s="152"/>
      <c r="W133" s="152"/>
      <c r="X133" s="152"/>
      <c r="Y133" s="149"/>
    </row>
    <row r="134" spans="3:25" s="151" customFormat="1" ht="12.75">
      <c r="C134" s="152"/>
      <c r="D134" s="152"/>
      <c r="E134" s="149"/>
      <c r="F134" s="152"/>
      <c r="G134" s="152"/>
      <c r="H134" s="152"/>
      <c r="I134" s="152"/>
      <c r="J134" s="156"/>
      <c r="K134" s="156"/>
      <c r="L134" s="156"/>
      <c r="M134" s="156"/>
      <c r="N134" s="156"/>
      <c r="O134" s="156"/>
      <c r="P134" s="156"/>
      <c r="Q134" s="152"/>
      <c r="R134" s="152"/>
      <c r="S134" s="152"/>
      <c r="T134" s="152"/>
      <c r="U134" s="152"/>
      <c r="V134" s="152"/>
      <c r="W134" s="152"/>
      <c r="X134" s="152"/>
      <c r="Y134" s="149"/>
    </row>
    <row r="135" spans="3:25" s="151" customFormat="1" ht="12.75">
      <c r="C135" s="152"/>
      <c r="D135" s="152"/>
      <c r="E135" s="149"/>
      <c r="F135" s="152"/>
      <c r="G135" s="152"/>
      <c r="H135" s="152"/>
      <c r="I135" s="152"/>
      <c r="J135" s="156"/>
      <c r="K135" s="156"/>
      <c r="L135" s="156"/>
      <c r="M135" s="156"/>
      <c r="N135" s="156"/>
      <c r="O135" s="156"/>
      <c r="P135" s="156"/>
      <c r="Q135" s="152"/>
      <c r="R135" s="152"/>
      <c r="S135" s="152"/>
      <c r="T135" s="152"/>
      <c r="U135" s="152"/>
      <c r="V135" s="152"/>
      <c r="W135" s="152"/>
      <c r="X135" s="152"/>
      <c r="Y135" s="149"/>
    </row>
    <row r="136" spans="3:25" s="151" customFormat="1" ht="12.75">
      <c r="C136" s="152"/>
      <c r="D136" s="152"/>
      <c r="E136" s="149"/>
      <c r="F136" s="152"/>
      <c r="G136" s="152"/>
      <c r="H136" s="152"/>
      <c r="I136" s="152"/>
      <c r="J136" s="156"/>
      <c r="K136" s="156"/>
      <c r="L136" s="156"/>
      <c r="M136" s="156"/>
      <c r="N136" s="156"/>
      <c r="O136" s="156"/>
      <c r="P136" s="156"/>
      <c r="Q136" s="152"/>
      <c r="R136" s="152"/>
      <c r="S136" s="152"/>
      <c r="T136" s="152"/>
      <c r="U136" s="152"/>
      <c r="V136" s="152"/>
      <c r="W136" s="152"/>
      <c r="X136" s="152"/>
      <c r="Y136" s="149"/>
    </row>
    <row r="137" spans="3:25" s="151" customFormat="1" ht="12.75">
      <c r="C137" s="152"/>
      <c r="D137" s="152"/>
      <c r="E137" s="149"/>
      <c r="F137" s="152"/>
      <c r="G137" s="152"/>
      <c r="H137" s="152"/>
      <c r="I137" s="152"/>
      <c r="J137" s="156"/>
      <c r="K137" s="156"/>
      <c r="L137" s="156"/>
      <c r="M137" s="156"/>
      <c r="N137" s="156"/>
      <c r="O137" s="156"/>
      <c r="P137" s="156"/>
      <c r="Q137" s="152"/>
      <c r="R137" s="152"/>
      <c r="S137" s="152"/>
      <c r="T137" s="152"/>
      <c r="U137" s="152"/>
      <c r="V137" s="152"/>
      <c r="W137" s="152"/>
      <c r="X137" s="152"/>
      <c r="Y137" s="149"/>
    </row>
    <row r="138" spans="3:25" s="151" customFormat="1" ht="12.75">
      <c r="C138" s="152"/>
      <c r="D138" s="152"/>
      <c r="E138" s="149"/>
      <c r="F138" s="152"/>
      <c r="G138" s="152"/>
      <c r="H138" s="152"/>
      <c r="I138" s="152"/>
      <c r="J138" s="156"/>
      <c r="K138" s="156"/>
      <c r="L138" s="156"/>
      <c r="M138" s="156"/>
      <c r="N138" s="156"/>
      <c r="O138" s="156"/>
      <c r="P138" s="156"/>
      <c r="Q138" s="152"/>
      <c r="R138" s="152"/>
      <c r="S138" s="152"/>
      <c r="T138" s="152"/>
      <c r="U138" s="152"/>
      <c r="V138" s="152"/>
      <c r="W138" s="152"/>
      <c r="X138" s="152"/>
      <c r="Y138" s="149"/>
    </row>
    <row r="139" spans="3:25" s="151" customFormat="1" ht="12.75">
      <c r="C139" s="152"/>
      <c r="D139" s="152"/>
      <c r="E139" s="149"/>
      <c r="F139" s="152"/>
      <c r="G139" s="152"/>
      <c r="H139" s="152"/>
      <c r="I139" s="152"/>
      <c r="J139" s="156"/>
      <c r="K139" s="156"/>
      <c r="L139" s="156"/>
      <c r="M139" s="156"/>
      <c r="N139" s="156"/>
      <c r="O139" s="156"/>
      <c r="P139" s="156"/>
      <c r="Q139" s="152"/>
      <c r="R139" s="152"/>
      <c r="S139" s="152"/>
      <c r="T139" s="152"/>
      <c r="U139" s="152"/>
      <c r="V139" s="152"/>
      <c r="W139" s="152"/>
      <c r="X139" s="152"/>
      <c r="Y139" s="149"/>
    </row>
    <row r="140" spans="3:25" s="151" customFormat="1" ht="12.75">
      <c r="C140" s="152"/>
      <c r="D140" s="152"/>
      <c r="E140" s="149"/>
      <c r="F140" s="152"/>
      <c r="G140" s="152"/>
      <c r="H140" s="152"/>
      <c r="I140" s="152"/>
      <c r="J140" s="156"/>
      <c r="K140" s="156"/>
      <c r="L140" s="156"/>
      <c r="M140" s="156"/>
      <c r="N140" s="156"/>
      <c r="O140" s="156"/>
      <c r="P140" s="156"/>
      <c r="Q140" s="152"/>
      <c r="R140" s="152"/>
      <c r="S140" s="152"/>
      <c r="T140" s="152"/>
      <c r="U140" s="152"/>
      <c r="V140" s="152"/>
      <c r="W140" s="152"/>
      <c r="X140" s="152"/>
      <c r="Y140" s="149"/>
    </row>
    <row r="141" spans="3:25" s="151" customFormat="1" ht="12.75">
      <c r="C141" s="152"/>
      <c r="D141" s="152"/>
      <c r="E141" s="149"/>
      <c r="F141" s="152"/>
      <c r="G141" s="152"/>
      <c r="H141" s="152"/>
      <c r="I141" s="152"/>
      <c r="J141" s="156"/>
      <c r="K141" s="156"/>
      <c r="L141" s="156"/>
      <c r="M141" s="156"/>
      <c r="N141" s="156"/>
      <c r="O141" s="156"/>
      <c r="P141" s="156"/>
      <c r="Q141" s="152"/>
      <c r="R141" s="152"/>
      <c r="S141" s="152"/>
      <c r="T141" s="152"/>
      <c r="U141" s="152"/>
      <c r="V141" s="152"/>
      <c r="W141" s="152"/>
      <c r="X141" s="152"/>
      <c r="Y141" s="149"/>
    </row>
    <row r="142" spans="3:25" s="151" customFormat="1" ht="12.75">
      <c r="C142" s="152"/>
      <c r="D142" s="152"/>
      <c r="E142" s="149"/>
      <c r="F142" s="152"/>
      <c r="G142" s="152"/>
      <c r="H142" s="152"/>
      <c r="I142" s="152"/>
      <c r="J142" s="156"/>
      <c r="K142" s="156"/>
      <c r="L142" s="156"/>
      <c r="M142" s="156"/>
      <c r="N142" s="156"/>
      <c r="O142" s="156"/>
      <c r="P142" s="156"/>
      <c r="Q142" s="152"/>
      <c r="R142" s="152"/>
      <c r="S142" s="152"/>
      <c r="T142" s="152"/>
      <c r="U142" s="152"/>
      <c r="V142" s="152"/>
      <c r="W142" s="152"/>
      <c r="X142" s="152"/>
      <c r="Y142" s="149"/>
    </row>
    <row r="143" spans="3:25" s="151" customFormat="1" ht="12.75">
      <c r="C143" s="152"/>
      <c r="D143" s="152"/>
      <c r="E143" s="149"/>
      <c r="F143" s="152"/>
      <c r="G143" s="152"/>
      <c r="H143" s="152"/>
      <c r="I143" s="152"/>
      <c r="J143" s="156"/>
      <c r="K143" s="156"/>
      <c r="L143" s="156"/>
      <c r="M143" s="156"/>
      <c r="N143" s="156"/>
      <c r="O143" s="156"/>
      <c r="P143" s="156"/>
      <c r="Q143" s="152"/>
      <c r="R143" s="152"/>
      <c r="S143" s="152"/>
      <c r="T143" s="152"/>
      <c r="U143" s="152"/>
      <c r="V143" s="152"/>
      <c r="W143" s="152"/>
      <c r="X143" s="152"/>
      <c r="Y143" s="149"/>
    </row>
    <row r="144" spans="3:25" s="151" customFormat="1" ht="12.75">
      <c r="C144" s="152"/>
      <c r="D144" s="152"/>
      <c r="E144" s="149"/>
      <c r="F144" s="152"/>
      <c r="G144" s="152"/>
      <c r="H144" s="152"/>
      <c r="I144" s="152"/>
      <c r="J144" s="156"/>
      <c r="K144" s="156"/>
      <c r="L144" s="156"/>
      <c r="M144" s="156"/>
      <c r="N144" s="156"/>
      <c r="O144" s="156"/>
      <c r="P144" s="156"/>
      <c r="Q144" s="152"/>
      <c r="R144" s="152"/>
      <c r="S144" s="152"/>
      <c r="T144" s="152"/>
      <c r="U144" s="152"/>
      <c r="V144" s="152"/>
      <c r="W144" s="152"/>
      <c r="X144" s="152"/>
      <c r="Y144" s="149"/>
    </row>
    <row r="145" spans="3:25" s="151" customFormat="1" ht="12.75">
      <c r="C145" s="152"/>
      <c r="D145" s="152"/>
      <c r="E145" s="149"/>
      <c r="F145" s="152"/>
      <c r="G145" s="152"/>
      <c r="H145" s="152"/>
      <c r="I145" s="152"/>
      <c r="J145" s="156"/>
      <c r="K145" s="156"/>
      <c r="L145" s="156"/>
      <c r="M145" s="156"/>
      <c r="N145" s="156"/>
      <c r="O145" s="156"/>
      <c r="P145" s="156"/>
      <c r="Q145" s="152"/>
      <c r="R145" s="152"/>
      <c r="S145" s="152"/>
      <c r="T145" s="152"/>
      <c r="U145" s="152"/>
      <c r="V145" s="152"/>
      <c r="W145" s="152"/>
      <c r="X145" s="152"/>
      <c r="Y145" s="149"/>
    </row>
    <row r="146" spans="3:25" s="151" customFormat="1" ht="12.75">
      <c r="C146" s="152"/>
      <c r="D146" s="152"/>
      <c r="E146" s="149"/>
      <c r="F146" s="152"/>
      <c r="G146" s="152"/>
      <c r="H146" s="152"/>
      <c r="I146" s="152"/>
      <c r="J146" s="156"/>
      <c r="K146" s="156"/>
      <c r="L146" s="156"/>
      <c r="M146" s="156"/>
      <c r="N146" s="156"/>
      <c r="O146" s="156"/>
      <c r="P146" s="156"/>
      <c r="Q146" s="152"/>
      <c r="R146" s="152"/>
      <c r="S146" s="152"/>
      <c r="T146" s="152"/>
      <c r="U146" s="152"/>
      <c r="V146" s="152"/>
      <c r="W146" s="152"/>
      <c r="X146" s="152"/>
      <c r="Y146" s="149"/>
    </row>
    <row r="147" spans="3:25" s="151" customFormat="1" ht="12.75">
      <c r="C147" s="152"/>
      <c r="D147" s="152"/>
      <c r="E147" s="149"/>
      <c r="F147" s="152"/>
      <c r="G147" s="152"/>
      <c r="H147" s="152"/>
      <c r="I147" s="152"/>
      <c r="J147" s="156"/>
      <c r="K147" s="156"/>
      <c r="L147" s="156"/>
      <c r="M147" s="156"/>
      <c r="N147" s="156"/>
      <c r="O147" s="156"/>
      <c r="P147" s="156"/>
      <c r="Q147" s="152"/>
      <c r="R147" s="152"/>
      <c r="S147" s="152"/>
      <c r="T147" s="152"/>
      <c r="U147" s="152"/>
      <c r="V147" s="152"/>
      <c r="W147" s="152"/>
      <c r="X147" s="152"/>
      <c r="Y147" s="149"/>
    </row>
    <row r="148" spans="3:25" s="151" customFormat="1" ht="12.75">
      <c r="C148" s="152"/>
      <c r="D148" s="152"/>
      <c r="E148" s="149"/>
      <c r="F148" s="152"/>
      <c r="G148" s="152"/>
      <c r="H148" s="152"/>
      <c r="I148" s="152"/>
      <c r="J148" s="156"/>
      <c r="K148" s="156"/>
      <c r="L148" s="156"/>
      <c r="M148" s="156"/>
      <c r="N148" s="156"/>
      <c r="O148" s="156"/>
      <c r="P148" s="156"/>
      <c r="Q148" s="152"/>
      <c r="R148" s="152"/>
      <c r="S148" s="152"/>
      <c r="T148" s="152"/>
      <c r="U148" s="152"/>
      <c r="V148" s="152"/>
      <c r="W148" s="152"/>
      <c r="X148" s="152"/>
      <c r="Y148" s="149"/>
    </row>
    <row r="149" spans="3:25" s="151" customFormat="1" ht="12.75">
      <c r="C149" s="152"/>
      <c r="D149" s="152"/>
      <c r="E149" s="149"/>
      <c r="F149" s="152"/>
      <c r="G149" s="152"/>
      <c r="H149" s="152"/>
      <c r="I149" s="152"/>
      <c r="J149" s="156"/>
      <c r="K149" s="156"/>
      <c r="L149" s="156"/>
      <c r="M149" s="156"/>
      <c r="N149" s="156"/>
      <c r="O149" s="156"/>
      <c r="P149" s="156"/>
      <c r="Q149" s="152"/>
      <c r="R149" s="152"/>
      <c r="S149" s="152"/>
      <c r="T149" s="152"/>
      <c r="U149" s="152"/>
      <c r="V149" s="152"/>
      <c r="W149" s="152"/>
      <c r="X149" s="152"/>
      <c r="Y149" s="149"/>
    </row>
    <row r="150" spans="3:25" s="151" customFormat="1" ht="12.75">
      <c r="C150" s="152"/>
      <c r="D150" s="152"/>
      <c r="E150" s="149"/>
      <c r="F150" s="152"/>
      <c r="G150" s="152"/>
      <c r="H150" s="152"/>
      <c r="I150" s="152"/>
      <c r="J150" s="156"/>
      <c r="K150" s="156"/>
      <c r="L150" s="156"/>
      <c r="M150" s="156"/>
      <c r="N150" s="156"/>
      <c r="O150" s="156"/>
      <c r="P150" s="156"/>
      <c r="Q150" s="152"/>
      <c r="R150" s="152"/>
      <c r="S150" s="152"/>
      <c r="T150" s="152"/>
      <c r="U150" s="152"/>
      <c r="V150" s="152"/>
      <c r="W150" s="152"/>
      <c r="X150" s="152"/>
      <c r="Y150" s="149"/>
    </row>
    <row r="151" spans="3:25" s="151" customFormat="1" ht="12.75">
      <c r="C151" s="152"/>
      <c r="D151" s="152"/>
      <c r="E151" s="149"/>
      <c r="F151" s="152"/>
      <c r="G151" s="152"/>
      <c r="H151" s="152"/>
      <c r="I151" s="152"/>
      <c r="J151" s="156"/>
      <c r="K151" s="156"/>
      <c r="L151" s="156"/>
      <c r="M151" s="156"/>
      <c r="N151" s="156"/>
      <c r="O151" s="156"/>
      <c r="P151" s="156"/>
      <c r="Q151" s="152"/>
      <c r="R151" s="152"/>
      <c r="S151" s="152"/>
      <c r="T151" s="152"/>
      <c r="U151" s="152"/>
      <c r="V151" s="152"/>
      <c r="W151" s="152"/>
      <c r="X151" s="152"/>
      <c r="Y151" s="149"/>
    </row>
    <row r="152" spans="3:25" s="151" customFormat="1" ht="12.75">
      <c r="C152" s="152"/>
      <c r="D152" s="152"/>
      <c r="E152" s="149"/>
      <c r="F152" s="152"/>
      <c r="G152" s="152"/>
      <c r="H152" s="152"/>
      <c r="I152" s="152"/>
      <c r="J152" s="156"/>
      <c r="K152" s="156"/>
      <c r="L152" s="156"/>
      <c r="M152" s="156"/>
      <c r="N152" s="156"/>
      <c r="O152" s="156"/>
      <c r="P152" s="156"/>
      <c r="Q152" s="152"/>
      <c r="R152" s="152"/>
      <c r="S152" s="152"/>
      <c r="T152" s="152"/>
      <c r="U152" s="152"/>
      <c r="V152" s="152"/>
      <c r="W152" s="152"/>
      <c r="X152" s="152"/>
      <c r="Y152" s="149"/>
    </row>
    <row r="153" spans="3:25" s="151" customFormat="1" ht="12.75">
      <c r="C153" s="152"/>
      <c r="D153" s="152"/>
      <c r="E153" s="149"/>
      <c r="F153" s="152"/>
      <c r="G153" s="152"/>
      <c r="H153" s="152"/>
      <c r="I153" s="152"/>
      <c r="J153" s="156"/>
      <c r="K153" s="156"/>
      <c r="L153" s="156"/>
      <c r="M153" s="156"/>
      <c r="N153" s="156"/>
      <c r="O153" s="156"/>
      <c r="P153" s="156"/>
      <c r="Q153" s="152"/>
      <c r="R153" s="152"/>
      <c r="S153" s="152"/>
      <c r="T153" s="152"/>
      <c r="U153" s="152"/>
      <c r="V153" s="152"/>
      <c r="W153" s="152"/>
      <c r="X153" s="152"/>
      <c r="Y153" s="149"/>
    </row>
    <row r="154" spans="3:25" s="151" customFormat="1" ht="12.75">
      <c r="C154" s="152"/>
      <c r="D154" s="152"/>
      <c r="E154" s="149"/>
      <c r="F154" s="152"/>
      <c r="G154" s="152"/>
      <c r="H154" s="152"/>
      <c r="I154" s="152"/>
      <c r="J154" s="156"/>
      <c r="K154" s="156"/>
      <c r="L154" s="156"/>
      <c r="M154" s="156"/>
      <c r="N154" s="156"/>
      <c r="O154" s="156"/>
      <c r="P154" s="156"/>
      <c r="Q154" s="152"/>
      <c r="R154" s="152"/>
      <c r="S154" s="152"/>
      <c r="T154" s="152"/>
      <c r="U154" s="152"/>
      <c r="V154" s="152"/>
      <c r="W154" s="152"/>
      <c r="X154" s="152"/>
      <c r="Y154" s="149"/>
    </row>
    <row r="155" spans="3:25" s="151" customFormat="1" ht="12.75">
      <c r="C155" s="152"/>
      <c r="D155" s="152"/>
      <c r="E155" s="149"/>
      <c r="F155" s="152"/>
      <c r="G155" s="152"/>
      <c r="H155" s="152"/>
      <c r="I155" s="152"/>
      <c r="J155" s="156"/>
      <c r="K155" s="156"/>
      <c r="L155" s="156"/>
      <c r="M155" s="156"/>
      <c r="N155" s="156"/>
      <c r="O155" s="156"/>
      <c r="P155" s="156"/>
      <c r="Q155" s="152"/>
      <c r="R155" s="152"/>
      <c r="S155" s="152"/>
      <c r="T155" s="152"/>
      <c r="U155" s="152"/>
      <c r="V155" s="152"/>
      <c r="W155" s="152"/>
      <c r="X155" s="152"/>
      <c r="Y155" s="149"/>
    </row>
    <row r="156" spans="3:25" s="151" customFormat="1" ht="12.75">
      <c r="C156" s="152"/>
      <c r="D156" s="152"/>
      <c r="E156" s="149"/>
      <c r="F156" s="152"/>
      <c r="G156" s="152"/>
      <c r="H156" s="152"/>
      <c r="I156" s="152"/>
      <c r="J156" s="156"/>
      <c r="K156" s="156"/>
      <c r="L156" s="156"/>
      <c r="M156" s="156"/>
      <c r="N156" s="156"/>
      <c r="O156" s="156"/>
      <c r="P156" s="156"/>
      <c r="Q156" s="152"/>
      <c r="R156" s="152"/>
      <c r="S156" s="152"/>
      <c r="T156" s="152"/>
      <c r="U156" s="152"/>
      <c r="V156" s="152"/>
      <c r="W156" s="152"/>
      <c r="X156" s="152"/>
      <c r="Y156" s="149"/>
    </row>
    <row r="157" spans="3:25" s="151" customFormat="1" ht="12.75">
      <c r="C157" s="152"/>
      <c r="D157" s="152"/>
      <c r="E157" s="149"/>
      <c r="F157" s="152"/>
      <c r="G157" s="152"/>
      <c r="H157" s="152"/>
      <c r="I157" s="152"/>
      <c r="J157" s="156"/>
      <c r="K157" s="156"/>
      <c r="L157" s="156"/>
      <c r="M157" s="156"/>
      <c r="N157" s="156"/>
      <c r="O157" s="156"/>
      <c r="P157" s="156"/>
      <c r="Q157" s="152"/>
      <c r="R157" s="152"/>
      <c r="S157" s="152"/>
      <c r="T157" s="152"/>
      <c r="U157" s="152"/>
      <c r="V157" s="152"/>
      <c r="W157" s="152"/>
      <c r="X157" s="152"/>
      <c r="Y157" s="149"/>
    </row>
    <row r="158" spans="3:25" s="151" customFormat="1" ht="12.75">
      <c r="C158" s="152"/>
      <c r="D158" s="152"/>
      <c r="E158" s="149"/>
      <c r="F158" s="152"/>
      <c r="G158" s="152"/>
      <c r="H158" s="152"/>
      <c r="I158" s="152"/>
      <c r="J158" s="156"/>
      <c r="K158" s="156"/>
      <c r="L158" s="156"/>
      <c r="M158" s="156"/>
      <c r="N158" s="156"/>
      <c r="O158" s="156"/>
      <c r="P158" s="156"/>
      <c r="Q158" s="152"/>
      <c r="R158" s="152"/>
      <c r="S158" s="152"/>
      <c r="T158" s="152"/>
      <c r="U158" s="152"/>
      <c r="V158" s="152"/>
      <c r="W158" s="152"/>
      <c r="X158" s="152"/>
      <c r="Y158" s="149"/>
    </row>
    <row r="159" spans="3:25" s="151" customFormat="1" ht="12.75">
      <c r="C159" s="152"/>
      <c r="D159" s="152"/>
      <c r="E159" s="149"/>
      <c r="F159" s="152"/>
      <c r="G159" s="152"/>
      <c r="H159" s="152"/>
      <c r="I159" s="152"/>
      <c r="J159" s="156"/>
      <c r="K159" s="156"/>
      <c r="L159" s="156"/>
      <c r="M159" s="156"/>
      <c r="N159" s="156"/>
      <c r="O159" s="156"/>
      <c r="P159" s="156"/>
      <c r="Q159" s="152"/>
      <c r="R159" s="152"/>
      <c r="S159" s="152"/>
      <c r="T159" s="152"/>
      <c r="U159" s="152"/>
      <c r="V159" s="152"/>
      <c r="W159" s="152"/>
      <c r="X159" s="152"/>
      <c r="Y159" s="149"/>
    </row>
    <row r="160" spans="3:25" s="151" customFormat="1" ht="12.75">
      <c r="C160" s="152"/>
      <c r="D160" s="152"/>
      <c r="E160" s="149"/>
      <c r="F160" s="152"/>
      <c r="G160" s="152"/>
      <c r="H160" s="152"/>
      <c r="I160" s="152"/>
      <c r="J160" s="156"/>
      <c r="K160" s="156"/>
      <c r="L160" s="156"/>
      <c r="M160" s="156"/>
      <c r="N160" s="156"/>
      <c r="O160" s="156"/>
      <c r="P160" s="156"/>
      <c r="Q160" s="152"/>
      <c r="R160" s="152"/>
      <c r="S160" s="152"/>
      <c r="T160" s="152"/>
      <c r="U160" s="152"/>
      <c r="V160" s="152"/>
      <c r="W160" s="152"/>
      <c r="X160" s="152"/>
      <c r="Y160" s="149"/>
    </row>
    <row r="161" spans="3:25" s="151" customFormat="1" ht="12.75">
      <c r="C161" s="152"/>
      <c r="D161" s="152"/>
      <c r="E161" s="149"/>
      <c r="F161" s="152"/>
      <c r="G161" s="152"/>
      <c r="H161" s="152"/>
      <c r="I161" s="152"/>
      <c r="J161" s="156"/>
      <c r="K161" s="156"/>
      <c r="L161" s="156"/>
      <c r="M161" s="156"/>
      <c r="N161" s="156"/>
      <c r="O161" s="156"/>
      <c r="P161" s="156"/>
      <c r="Q161" s="152"/>
      <c r="R161" s="152"/>
      <c r="S161" s="152"/>
      <c r="T161" s="152"/>
      <c r="U161" s="152"/>
      <c r="V161" s="152"/>
      <c r="W161" s="152"/>
      <c r="X161" s="152"/>
      <c r="Y161" s="149"/>
    </row>
    <row r="162" spans="3:25" s="151" customFormat="1" ht="12.75">
      <c r="C162" s="152"/>
      <c r="D162" s="152"/>
      <c r="E162" s="149"/>
      <c r="F162" s="152"/>
      <c r="G162" s="152"/>
      <c r="H162" s="152"/>
      <c r="I162" s="152"/>
      <c r="J162" s="156"/>
      <c r="K162" s="156"/>
      <c r="L162" s="156"/>
      <c r="M162" s="156"/>
      <c r="N162" s="156"/>
      <c r="O162" s="156"/>
      <c r="P162" s="156"/>
      <c r="Q162" s="152"/>
      <c r="R162" s="152"/>
      <c r="S162" s="152"/>
      <c r="T162" s="152"/>
      <c r="U162" s="152"/>
      <c r="V162" s="152"/>
      <c r="W162" s="152"/>
      <c r="X162" s="152"/>
      <c r="Y162" s="149"/>
    </row>
    <row r="163" spans="3:25" s="151" customFormat="1" ht="12.75">
      <c r="C163" s="152"/>
      <c r="D163" s="152"/>
      <c r="E163" s="149"/>
      <c r="F163" s="152"/>
      <c r="G163" s="152"/>
      <c r="H163" s="152"/>
      <c r="I163" s="152"/>
      <c r="J163" s="156"/>
      <c r="K163" s="156"/>
      <c r="L163" s="156"/>
      <c r="M163" s="156"/>
      <c r="N163" s="156"/>
      <c r="O163" s="156"/>
      <c r="P163" s="156"/>
      <c r="Q163" s="152"/>
      <c r="R163" s="152"/>
      <c r="S163" s="152"/>
      <c r="T163" s="152"/>
      <c r="U163" s="152"/>
      <c r="V163" s="152"/>
      <c r="W163" s="152"/>
      <c r="X163" s="152"/>
      <c r="Y163" s="149"/>
    </row>
    <row r="164" spans="3:25" s="151" customFormat="1" ht="12.75">
      <c r="C164" s="152"/>
      <c r="D164" s="152"/>
      <c r="E164" s="149"/>
      <c r="F164" s="152"/>
      <c r="G164" s="152"/>
      <c r="H164" s="152"/>
      <c r="I164" s="152"/>
      <c r="J164" s="156"/>
      <c r="K164" s="156"/>
      <c r="L164" s="156"/>
      <c r="M164" s="156"/>
      <c r="N164" s="156"/>
      <c r="O164" s="156"/>
      <c r="P164" s="156"/>
      <c r="Q164" s="152"/>
      <c r="R164" s="152"/>
      <c r="S164" s="152"/>
      <c r="T164" s="152"/>
      <c r="U164" s="152"/>
      <c r="V164" s="152"/>
      <c r="W164" s="152"/>
      <c r="X164" s="152"/>
      <c r="Y164" s="149"/>
    </row>
    <row r="165" spans="3:25" s="151" customFormat="1" ht="12.75">
      <c r="C165" s="152"/>
      <c r="D165" s="152"/>
      <c r="E165" s="149"/>
      <c r="F165" s="152"/>
      <c r="G165" s="152"/>
      <c r="H165" s="152"/>
      <c r="I165" s="152"/>
      <c r="J165" s="156"/>
      <c r="K165" s="156"/>
      <c r="L165" s="156"/>
      <c r="M165" s="156"/>
      <c r="N165" s="156"/>
      <c r="O165" s="156"/>
      <c r="P165" s="156"/>
      <c r="Q165" s="152"/>
      <c r="R165" s="152"/>
      <c r="S165" s="152"/>
      <c r="T165" s="152"/>
      <c r="U165" s="152"/>
      <c r="V165" s="152"/>
      <c r="W165" s="152"/>
      <c r="X165" s="152"/>
      <c r="Y165" s="149"/>
    </row>
    <row r="166" spans="3:25" s="151" customFormat="1" ht="12.75">
      <c r="C166" s="152"/>
      <c r="D166" s="152"/>
      <c r="E166" s="149"/>
      <c r="F166" s="152"/>
      <c r="G166" s="152"/>
      <c r="H166" s="152"/>
      <c r="I166" s="152"/>
      <c r="J166" s="156"/>
      <c r="K166" s="156"/>
      <c r="L166" s="156"/>
      <c r="M166" s="156"/>
      <c r="N166" s="156"/>
      <c r="O166" s="156"/>
      <c r="P166" s="156"/>
      <c r="Q166" s="152"/>
      <c r="R166" s="152"/>
      <c r="S166" s="152"/>
      <c r="T166" s="152"/>
      <c r="U166" s="152"/>
      <c r="V166" s="152"/>
      <c r="W166" s="152"/>
      <c r="X166" s="152"/>
      <c r="Y166" s="149"/>
    </row>
    <row r="167" spans="3:25" s="151" customFormat="1" ht="12.75">
      <c r="C167" s="152"/>
      <c r="D167" s="152"/>
      <c r="E167" s="149"/>
      <c r="F167" s="152"/>
      <c r="G167" s="152"/>
      <c r="H167" s="152"/>
      <c r="I167" s="152"/>
      <c r="J167" s="156"/>
      <c r="K167" s="156"/>
      <c r="L167" s="156"/>
      <c r="M167" s="156"/>
      <c r="N167" s="156"/>
      <c r="O167" s="156"/>
      <c r="P167" s="156"/>
      <c r="Q167" s="152"/>
      <c r="R167" s="152"/>
      <c r="S167" s="152"/>
      <c r="T167" s="152"/>
      <c r="U167" s="152"/>
      <c r="V167" s="152"/>
      <c r="W167" s="152"/>
      <c r="X167" s="152"/>
      <c r="Y167" s="149"/>
    </row>
    <row r="168" spans="3:25" s="151" customFormat="1" ht="12.75">
      <c r="C168" s="152"/>
      <c r="D168" s="152"/>
      <c r="E168" s="149"/>
      <c r="F168" s="152"/>
      <c r="G168" s="152"/>
      <c r="H168" s="152"/>
      <c r="I168" s="152"/>
      <c r="J168" s="156"/>
      <c r="K168" s="156"/>
      <c r="L168" s="156"/>
      <c r="M168" s="156"/>
      <c r="N168" s="156"/>
      <c r="O168" s="156"/>
      <c r="P168" s="156"/>
      <c r="Q168" s="152"/>
      <c r="R168" s="152"/>
      <c r="S168" s="152"/>
      <c r="T168" s="152"/>
      <c r="U168" s="152"/>
      <c r="V168" s="152"/>
      <c r="W168" s="152"/>
      <c r="X168" s="152"/>
      <c r="Y168" s="149"/>
    </row>
    <row r="169" spans="3:25" s="151" customFormat="1" ht="12.75">
      <c r="C169" s="152"/>
      <c r="D169" s="152"/>
      <c r="E169" s="149"/>
      <c r="F169" s="152"/>
      <c r="G169" s="152"/>
      <c r="H169" s="152"/>
      <c r="I169" s="152"/>
      <c r="J169" s="156"/>
      <c r="K169" s="156"/>
      <c r="L169" s="156"/>
      <c r="M169" s="156"/>
      <c r="N169" s="156"/>
      <c r="O169" s="156"/>
      <c r="P169" s="156"/>
      <c r="Q169" s="152"/>
      <c r="R169" s="152"/>
      <c r="S169" s="152"/>
      <c r="T169" s="152"/>
      <c r="U169" s="152"/>
      <c r="V169" s="152"/>
      <c r="W169" s="152"/>
      <c r="X169" s="152"/>
      <c r="Y169" s="149"/>
    </row>
    <row r="170" spans="3:25" s="151" customFormat="1" ht="12.75">
      <c r="C170" s="152"/>
      <c r="D170" s="152"/>
      <c r="E170" s="149"/>
      <c r="F170" s="152"/>
      <c r="G170" s="152"/>
      <c r="H170" s="152"/>
      <c r="I170" s="152"/>
      <c r="J170" s="156"/>
      <c r="K170" s="156"/>
      <c r="L170" s="156"/>
      <c r="M170" s="156"/>
      <c r="N170" s="156"/>
      <c r="O170" s="156"/>
      <c r="P170" s="156"/>
      <c r="Q170" s="152"/>
      <c r="R170" s="152"/>
      <c r="S170" s="152"/>
      <c r="T170" s="152"/>
      <c r="U170" s="152"/>
      <c r="V170" s="152"/>
      <c r="W170" s="152"/>
      <c r="X170" s="152"/>
      <c r="Y170" s="149"/>
    </row>
    <row r="171" spans="3:25" s="151" customFormat="1" ht="12.75">
      <c r="C171" s="152"/>
      <c r="D171" s="152"/>
      <c r="E171" s="149"/>
      <c r="F171" s="152"/>
      <c r="G171" s="152"/>
      <c r="H171" s="152"/>
      <c r="I171" s="152"/>
      <c r="J171" s="156"/>
      <c r="K171" s="156"/>
      <c r="L171" s="156"/>
      <c r="M171" s="156"/>
      <c r="N171" s="156"/>
      <c r="O171" s="156"/>
      <c r="P171" s="156"/>
      <c r="Q171" s="152"/>
      <c r="R171" s="152"/>
      <c r="S171" s="152"/>
      <c r="T171" s="152"/>
      <c r="U171" s="152"/>
      <c r="V171" s="152"/>
      <c r="W171" s="152"/>
      <c r="X171" s="152"/>
      <c r="Y171" s="149"/>
    </row>
    <row r="172" spans="3:25" s="151" customFormat="1" ht="12.75">
      <c r="C172" s="152"/>
      <c r="D172" s="152"/>
      <c r="E172" s="149"/>
      <c r="F172" s="152"/>
      <c r="G172" s="152"/>
      <c r="H172" s="152"/>
      <c r="I172" s="152"/>
      <c r="J172" s="156"/>
      <c r="K172" s="156"/>
      <c r="L172" s="156"/>
      <c r="M172" s="156"/>
      <c r="N172" s="156"/>
      <c r="O172" s="156"/>
      <c r="P172" s="156"/>
      <c r="Q172" s="152"/>
      <c r="R172" s="152"/>
      <c r="S172" s="152"/>
      <c r="T172" s="152"/>
      <c r="U172" s="152"/>
      <c r="V172" s="152"/>
      <c r="W172" s="152"/>
      <c r="X172" s="152"/>
      <c r="Y172" s="149"/>
    </row>
    <row r="173" spans="3:25" s="151" customFormat="1" ht="12.75">
      <c r="C173" s="152"/>
      <c r="D173" s="152"/>
      <c r="E173" s="149"/>
      <c r="F173" s="152"/>
      <c r="G173" s="152"/>
      <c r="H173" s="152"/>
      <c r="I173" s="152"/>
      <c r="J173" s="156"/>
      <c r="K173" s="156"/>
      <c r="L173" s="156"/>
      <c r="M173" s="156"/>
      <c r="N173" s="156"/>
      <c r="O173" s="156"/>
      <c r="P173" s="156"/>
      <c r="Q173" s="152"/>
      <c r="R173" s="152"/>
      <c r="S173" s="152"/>
      <c r="T173" s="152"/>
      <c r="U173" s="152"/>
      <c r="V173" s="152"/>
      <c r="W173" s="152"/>
      <c r="X173" s="152"/>
      <c r="Y173" s="149"/>
    </row>
    <row r="174" spans="3:25" s="151" customFormat="1" ht="12.75">
      <c r="C174" s="152"/>
      <c r="D174" s="152"/>
      <c r="E174" s="149"/>
      <c r="F174" s="152"/>
      <c r="G174" s="152"/>
      <c r="H174" s="152"/>
      <c r="I174" s="152"/>
      <c r="J174" s="156"/>
      <c r="K174" s="156"/>
      <c r="L174" s="156"/>
      <c r="M174" s="156"/>
      <c r="N174" s="156"/>
      <c r="O174" s="156"/>
      <c r="P174" s="156"/>
      <c r="Q174" s="152"/>
      <c r="R174" s="152"/>
      <c r="S174" s="152"/>
      <c r="T174" s="152"/>
      <c r="U174" s="152"/>
      <c r="V174" s="152"/>
      <c r="W174" s="152"/>
      <c r="X174" s="152"/>
      <c r="Y174" s="149"/>
    </row>
    <row r="175" spans="3:25" s="151" customFormat="1" ht="12.75">
      <c r="C175" s="152"/>
      <c r="D175" s="152"/>
      <c r="E175" s="149"/>
      <c r="F175" s="152"/>
      <c r="G175" s="152"/>
      <c r="H175" s="152"/>
      <c r="I175" s="152"/>
      <c r="J175" s="156"/>
      <c r="K175" s="156"/>
      <c r="L175" s="156"/>
      <c r="M175" s="156"/>
      <c r="N175" s="156"/>
      <c r="O175" s="156"/>
      <c r="P175" s="156"/>
      <c r="Q175" s="152"/>
      <c r="R175" s="152"/>
      <c r="S175" s="152"/>
      <c r="T175" s="152"/>
      <c r="U175" s="152"/>
      <c r="V175" s="152"/>
      <c r="W175" s="152"/>
      <c r="X175" s="152"/>
      <c r="Y175" s="149"/>
    </row>
    <row r="176" spans="3:25" s="151" customFormat="1" ht="12.75">
      <c r="C176" s="152"/>
      <c r="D176" s="152"/>
      <c r="E176" s="149"/>
      <c r="F176" s="152"/>
      <c r="G176" s="152"/>
      <c r="H176" s="152"/>
      <c r="I176" s="152"/>
      <c r="J176" s="156"/>
      <c r="K176" s="156"/>
      <c r="L176" s="156"/>
      <c r="M176" s="156"/>
      <c r="N176" s="156"/>
      <c r="O176" s="156"/>
      <c r="P176" s="156"/>
      <c r="Q176" s="152"/>
      <c r="R176" s="152"/>
      <c r="S176" s="152"/>
      <c r="T176" s="152"/>
      <c r="U176" s="152"/>
      <c r="V176" s="152"/>
      <c r="W176" s="152"/>
      <c r="X176" s="152"/>
      <c r="Y176" s="149"/>
    </row>
    <row r="177" spans="3:25" s="151" customFormat="1" ht="12.75">
      <c r="C177" s="152"/>
      <c r="D177" s="152"/>
      <c r="E177" s="149"/>
      <c r="F177" s="152"/>
      <c r="G177" s="152"/>
      <c r="H177" s="152"/>
      <c r="I177" s="152"/>
      <c r="J177" s="156"/>
      <c r="K177" s="156"/>
      <c r="L177" s="156"/>
      <c r="M177" s="156"/>
      <c r="N177" s="156"/>
      <c r="O177" s="156"/>
      <c r="P177" s="156"/>
      <c r="Q177" s="152"/>
      <c r="R177" s="152"/>
      <c r="S177" s="152"/>
      <c r="T177" s="152"/>
      <c r="U177" s="152"/>
      <c r="V177" s="152"/>
      <c r="W177" s="152"/>
      <c r="X177" s="152"/>
      <c r="Y177" s="149"/>
    </row>
    <row r="178" spans="3:25" s="151" customFormat="1" ht="12.75">
      <c r="C178" s="152"/>
      <c r="D178" s="152"/>
      <c r="E178" s="149"/>
      <c r="F178" s="152"/>
      <c r="G178" s="152"/>
      <c r="H178" s="152"/>
      <c r="I178" s="152"/>
      <c r="J178" s="156"/>
      <c r="K178" s="156"/>
      <c r="L178" s="156"/>
      <c r="M178" s="156"/>
      <c r="N178" s="156"/>
      <c r="O178" s="156"/>
      <c r="P178" s="156"/>
      <c r="Q178" s="152"/>
      <c r="R178" s="152"/>
      <c r="S178" s="152"/>
      <c r="T178" s="152"/>
      <c r="U178" s="152"/>
      <c r="V178" s="152"/>
      <c r="W178" s="152"/>
      <c r="X178" s="152"/>
      <c r="Y178" s="149"/>
    </row>
    <row r="179" spans="3:25" s="151" customFormat="1" ht="12.75">
      <c r="C179" s="152"/>
      <c r="D179" s="152"/>
      <c r="E179" s="149"/>
      <c r="F179" s="152"/>
      <c r="G179" s="152"/>
      <c r="H179" s="152"/>
      <c r="I179" s="152"/>
      <c r="J179" s="156"/>
      <c r="K179" s="156"/>
      <c r="L179" s="156"/>
      <c r="M179" s="156"/>
      <c r="N179" s="156"/>
      <c r="O179" s="156"/>
      <c r="P179" s="156"/>
      <c r="Q179" s="152"/>
      <c r="R179" s="152"/>
      <c r="S179" s="152"/>
      <c r="T179" s="152"/>
      <c r="U179" s="152"/>
      <c r="V179" s="152"/>
      <c r="W179" s="152"/>
      <c r="X179" s="152"/>
      <c r="Y179" s="149"/>
    </row>
    <row r="180" spans="3:25" s="151" customFormat="1" ht="12.75">
      <c r="C180" s="152"/>
      <c r="D180" s="152"/>
      <c r="E180" s="149"/>
      <c r="F180" s="152"/>
      <c r="G180" s="152"/>
      <c r="H180" s="152"/>
      <c r="I180" s="152"/>
      <c r="J180" s="156"/>
      <c r="K180" s="156"/>
      <c r="L180" s="156"/>
      <c r="M180" s="156"/>
      <c r="N180" s="156"/>
      <c r="O180" s="156"/>
      <c r="P180" s="156"/>
      <c r="Q180" s="152"/>
      <c r="R180" s="152"/>
      <c r="S180" s="152"/>
      <c r="T180" s="152"/>
      <c r="U180" s="152"/>
      <c r="V180" s="152"/>
      <c r="W180" s="152"/>
      <c r="X180" s="152"/>
      <c r="Y180" s="149"/>
    </row>
    <row r="181" spans="3:25" s="151" customFormat="1" ht="12.75">
      <c r="C181" s="152"/>
      <c r="D181" s="152"/>
      <c r="E181" s="149"/>
      <c r="F181" s="152"/>
      <c r="G181" s="152"/>
      <c r="H181" s="152"/>
      <c r="I181" s="152"/>
      <c r="J181" s="156"/>
      <c r="K181" s="156"/>
      <c r="L181" s="156"/>
      <c r="M181" s="156"/>
      <c r="N181" s="156"/>
      <c r="O181" s="156"/>
      <c r="P181" s="156"/>
      <c r="Q181" s="152"/>
      <c r="R181" s="152"/>
      <c r="S181" s="152"/>
      <c r="T181" s="152"/>
      <c r="U181" s="152"/>
      <c r="V181" s="152"/>
      <c r="W181" s="152"/>
      <c r="X181" s="152"/>
      <c r="Y181" s="149"/>
    </row>
    <row r="182" spans="3:25" s="151" customFormat="1" ht="12.75">
      <c r="C182" s="152"/>
      <c r="D182" s="152"/>
      <c r="E182" s="149"/>
      <c r="F182" s="152"/>
      <c r="G182" s="152"/>
      <c r="H182" s="152"/>
      <c r="I182" s="152"/>
      <c r="J182" s="156"/>
      <c r="K182" s="156"/>
      <c r="L182" s="156"/>
      <c r="M182" s="156"/>
      <c r="N182" s="156"/>
      <c r="O182" s="156"/>
      <c r="P182" s="156"/>
      <c r="Q182" s="152"/>
      <c r="R182" s="152"/>
      <c r="S182" s="152"/>
      <c r="T182" s="152"/>
      <c r="U182" s="152"/>
      <c r="V182" s="152"/>
      <c r="W182" s="152"/>
      <c r="X182" s="152"/>
      <c r="Y182" s="149"/>
    </row>
    <row r="183" spans="3:25" s="151" customFormat="1" ht="12.75">
      <c r="C183" s="152"/>
      <c r="D183" s="152"/>
      <c r="E183" s="149"/>
      <c r="F183" s="152"/>
      <c r="G183" s="152"/>
      <c r="H183" s="152"/>
      <c r="I183" s="152"/>
      <c r="J183" s="156"/>
      <c r="K183" s="156"/>
      <c r="L183" s="156"/>
      <c r="M183" s="156"/>
      <c r="N183" s="156"/>
      <c r="O183" s="156"/>
      <c r="P183" s="156"/>
      <c r="Q183" s="152"/>
      <c r="R183" s="152"/>
      <c r="S183" s="152"/>
      <c r="T183" s="152"/>
      <c r="U183" s="152"/>
      <c r="V183" s="152"/>
      <c r="W183" s="152"/>
      <c r="X183" s="152"/>
      <c r="Y183" s="149"/>
    </row>
    <row r="184" spans="3:25" s="151" customFormat="1" ht="12.75">
      <c r="C184" s="152"/>
      <c r="D184" s="152"/>
      <c r="E184" s="149"/>
      <c r="F184" s="152"/>
      <c r="G184" s="152"/>
      <c r="H184" s="152"/>
      <c r="I184" s="152"/>
      <c r="J184" s="156"/>
      <c r="K184" s="156"/>
      <c r="L184" s="156"/>
      <c r="M184" s="156"/>
      <c r="N184" s="156"/>
      <c r="O184" s="156"/>
      <c r="P184" s="156"/>
      <c r="Q184" s="152"/>
      <c r="R184" s="152"/>
      <c r="S184" s="152"/>
      <c r="T184" s="152"/>
      <c r="U184" s="152"/>
      <c r="V184" s="152"/>
      <c r="W184" s="152"/>
      <c r="X184" s="152"/>
      <c r="Y184" s="149"/>
    </row>
    <row r="185" spans="3:25" s="151" customFormat="1" ht="12.75">
      <c r="C185" s="152"/>
      <c r="D185" s="152"/>
      <c r="E185" s="149"/>
      <c r="F185" s="152"/>
      <c r="G185" s="152"/>
      <c r="H185" s="152"/>
      <c r="I185" s="152"/>
      <c r="J185" s="156"/>
      <c r="K185" s="156"/>
      <c r="L185" s="156"/>
      <c r="M185" s="156"/>
      <c r="N185" s="156"/>
      <c r="O185" s="156"/>
      <c r="P185" s="156"/>
      <c r="Q185" s="152"/>
      <c r="R185" s="152"/>
      <c r="S185" s="152"/>
      <c r="T185" s="152"/>
      <c r="U185" s="152"/>
      <c r="V185" s="152"/>
      <c r="W185" s="152"/>
      <c r="X185" s="152"/>
      <c r="Y185" s="149"/>
    </row>
    <row r="186" spans="3:25" s="151" customFormat="1" ht="12.75">
      <c r="C186" s="152"/>
      <c r="D186" s="152"/>
      <c r="E186" s="149"/>
      <c r="F186" s="152"/>
      <c r="G186" s="152"/>
      <c r="H186" s="152"/>
      <c r="I186" s="152"/>
      <c r="J186" s="156"/>
      <c r="K186" s="156"/>
      <c r="L186" s="156"/>
      <c r="M186" s="156"/>
      <c r="N186" s="156"/>
      <c r="O186" s="156"/>
      <c r="P186" s="156"/>
      <c r="Q186" s="152"/>
      <c r="R186" s="152"/>
      <c r="S186" s="152"/>
      <c r="T186" s="152"/>
      <c r="U186" s="152"/>
      <c r="V186" s="152"/>
      <c r="W186" s="152"/>
      <c r="X186" s="152"/>
      <c r="Y186" s="149"/>
    </row>
    <row r="187" spans="3:25" s="151" customFormat="1" ht="12.75">
      <c r="C187" s="152"/>
      <c r="D187" s="152"/>
      <c r="E187" s="149"/>
      <c r="F187" s="152"/>
      <c r="G187" s="152"/>
      <c r="H187" s="152"/>
      <c r="I187" s="152"/>
      <c r="J187" s="156"/>
      <c r="K187" s="156"/>
      <c r="L187" s="156"/>
      <c r="M187" s="156"/>
      <c r="N187" s="156"/>
      <c r="O187" s="156"/>
      <c r="P187" s="156"/>
      <c r="Q187" s="152"/>
      <c r="R187" s="152"/>
      <c r="S187" s="152"/>
      <c r="T187" s="152"/>
      <c r="U187" s="152"/>
      <c r="V187" s="152"/>
      <c r="W187" s="152"/>
      <c r="X187" s="152"/>
      <c r="Y187" s="149"/>
    </row>
    <row r="188" spans="3:25" s="151" customFormat="1" ht="12.75">
      <c r="C188" s="152"/>
      <c r="D188" s="152"/>
      <c r="E188" s="149"/>
      <c r="F188" s="152"/>
      <c r="G188" s="152"/>
      <c r="H188" s="152"/>
      <c r="I188" s="152"/>
      <c r="J188" s="156"/>
      <c r="K188" s="156"/>
      <c r="L188" s="156"/>
      <c r="M188" s="156"/>
      <c r="N188" s="156"/>
      <c r="O188" s="156"/>
      <c r="P188" s="156"/>
      <c r="Q188" s="152"/>
      <c r="R188" s="152"/>
      <c r="S188" s="152"/>
      <c r="T188" s="152"/>
      <c r="U188" s="152"/>
      <c r="V188" s="152"/>
      <c r="W188" s="152"/>
      <c r="X188" s="152"/>
      <c r="Y188" s="149"/>
    </row>
    <row r="189" spans="3:25" s="151" customFormat="1" ht="12.75">
      <c r="C189" s="152"/>
      <c r="D189" s="152"/>
      <c r="E189" s="149"/>
      <c r="F189" s="152"/>
      <c r="G189" s="152"/>
      <c r="H189" s="152"/>
      <c r="I189" s="152"/>
      <c r="J189" s="156"/>
      <c r="K189" s="156"/>
      <c r="L189" s="156"/>
      <c r="M189" s="156"/>
      <c r="N189" s="156"/>
      <c r="O189" s="156"/>
      <c r="P189" s="156"/>
      <c r="Q189" s="152"/>
      <c r="R189" s="152"/>
      <c r="S189" s="152"/>
      <c r="T189" s="152"/>
      <c r="U189" s="152"/>
      <c r="V189" s="152"/>
      <c r="W189" s="152"/>
      <c r="X189" s="152"/>
      <c r="Y189" s="149"/>
    </row>
    <row r="190" spans="3:25" s="151" customFormat="1" ht="12.75">
      <c r="C190" s="152"/>
      <c r="D190" s="152"/>
      <c r="E190" s="149"/>
      <c r="F190" s="152"/>
      <c r="G190" s="152"/>
      <c r="H190" s="152"/>
      <c r="I190" s="152"/>
      <c r="J190" s="156"/>
      <c r="K190" s="156"/>
      <c r="L190" s="156"/>
      <c r="M190" s="156"/>
      <c r="N190" s="156"/>
      <c r="O190" s="156"/>
      <c r="P190" s="156"/>
      <c r="Q190" s="152"/>
      <c r="R190" s="152"/>
      <c r="S190" s="152"/>
      <c r="T190" s="152"/>
      <c r="U190" s="152"/>
      <c r="V190" s="152"/>
      <c r="W190" s="152"/>
      <c r="X190" s="152"/>
      <c r="Y190" s="149"/>
    </row>
    <row r="191" spans="3:25" s="151" customFormat="1" ht="12.75">
      <c r="C191" s="152"/>
      <c r="D191" s="152"/>
      <c r="E191" s="149"/>
      <c r="F191" s="152"/>
      <c r="G191" s="152"/>
      <c r="H191" s="152"/>
      <c r="I191" s="152"/>
      <c r="J191" s="156"/>
      <c r="K191" s="156"/>
      <c r="L191" s="156"/>
      <c r="M191" s="156"/>
      <c r="N191" s="156"/>
      <c r="O191" s="156"/>
      <c r="P191" s="156"/>
      <c r="Q191" s="152"/>
      <c r="R191" s="152"/>
      <c r="S191" s="152"/>
      <c r="T191" s="152"/>
      <c r="U191" s="152"/>
      <c r="V191" s="152"/>
      <c r="W191" s="152"/>
      <c r="X191" s="152"/>
      <c r="Y191" s="149"/>
    </row>
    <row r="192" spans="3:25" s="151" customFormat="1" ht="12.75">
      <c r="C192" s="152"/>
      <c r="D192" s="152"/>
      <c r="E192" s="149"/>
      <c r="F192" s="152"/>
      <c r="G192" s="152"/>
      <c r="H192" s="152"/>
      <c r="I192" s="152"/>
      <c r="J192" s="156"/>
      <c r="K192" s="156"/>
      <c r="L192" s="156"/>
      <c r="M192" s="156"/>
      <c r="N192" s="156"/>
      <c r="O192" s="156"/>
      <c r="P192" s="156"/>
      <c r="Q192" s="152"/>
      <c r="R192" s="152"/>
      <c r="S192" s="152"/>
      <c r="T192" s="152"/>
      <c r="U192" s="152"/>
      <c r="V192" s="152"/>
      <c r="W192" s="152"/>
      <c r="X192" s="152"/>
      <c r="Y192" s="149"/>
    </row>
    <row r="193" spans="3:25" s="151" customFormat="1" ht="12.75">
      <c r="C193" s="152"/>
      <c r="D193" s="152"/>
      <c r="E193" s="149"/>
      <c r="F193" s="152"/>
      <c r="G193" s="152"/>
      <c r="H193" s="152"/>
      <c r="I193" s="152"/>
      <c r="J193" s="156"/>
      <c r="K193" s="156"/>
      <c r="L193" s="156"/>
      <c r="M193" s="156"/>
      <c r="N193" s="156"/>
      <c r="O193" s="156"/>
      <c r="P193" s="156"/>
      <c r="Q193" s="152"/>
      <c r="R193" s="152"/>
      <c r="S193" s="152"/>
      <c r="T193" s="152"/>
      <c r="U193" s="152"/>
      <c r="V193" s="152"/>
      <c r="W193" s="152"/>
      <c r="X193" s="152"/>
      <c r="Y193" s="149"/>
    </row>
    <row r="194" spans="3:25" s="151" customFormat="1" ht="12.75">
      <c r="C194" s="152"/>
      <c r="D194" s="152"/>
      <c r="E194" s="149"/>
      <c r="F194" s="152"/>
      <c r="G194" s="152"/>
      <c r="H194" s="152"/>
      <c r="I194" s="152"/>
      <c r="J194" s="156"/>
      <c r="K194" s="156"/>
      <c r="L194" s="156"/>
      <c r="M194" s="156"/>
      <c r="N194" s="156"/>
      <c r="O194" s="156"/>
      <c r="P194" s="156"/>
      <c r="Q194" s="152"/>
      <c r="R194" s="152"/>
      <c r="S194" s="152"/>
      <c r="T194" s="152"/>
      <c r="U194" s="152"/>
      <c r="V194" s="152"/>
      <c r="W194" s="152"/>
      <c r="X194" s="152"/>
      <c r="Y194" s="149"/>
    </row>
    <row r="195" spans="3:25" s="151" customFormat="1" ht="12.75">
      <c r="C195" s="152"/>
      <c r="D195" s="152"/>
      <c r="E195" s="149"/>
      <c r="F195" s="152"/>
      <c r="G195" s="152"/>
      <c r="H195" s="152"/>
      <c r="I195" s="152"/>
      <c r="J195" s="156"/>
      <c r="K195" s="156"/>
      <c r="L195" s="156"/>
      <c r="M195" s="156"/>
      <c r="N195" s="156"/>
      <c r="O195" s="156"/>
      <c r="P195" s="156"/>
      <c r="Q195" s="152"/>
      <c r="R195" s="152"/>
      <c r="S195" s="152"/>
      <c r="T195" s="152"/>
      <c r="U195" s="152"/>
      <c r="V195" s="152"/>
      <c r="W195" s="152"/>
      <c r="X195" s="152"/>
      <c r="Y195" s="149"/>
    </row>
    <row r="196" spans="3:25" s="151" customFormat="1" ht="12.75">
      <c r="C196" s="152"/>
      <c r="D196" s="152"/>
      <c r="E196" s="149"/>
      <c r="F196" s="152"/>
      <c r="G196" s="152"/>
      <c r="H196" s="152"/>
      <c r="I196" s="152"/>
      <c r="J196" s="156"/>
      <c r="K196" s="156"/>
      <c r="L196" s="156"/>
      <c r="M196" s="156"/>
      <c r="N196" s="156"/>
      <c r="O196" s="156"/>
      <c r="P196" s="156"/>
      <c r="Q196" s="152"/>
      <c r="R196" s="152"/>
      <c r="S196" s="152"/>
      <c r="T196" s="152"/>
      <c r="U196" s="152"/>
      <c r="V196" s="152"/>
      <c r="W196" s="152"/>
      <c r="X196" s="152"/>
      <c r="Y196" s="149"/>
    </row>
    <row r="197" spans="3:25" s="151" customFormat="1" ht="12.75">
      <c r="C197" s="152"/>
      <c r="D197" s="152"/>
      <c r="E197" s="149"/>
      <c r="F197" s="152"/>
      <c r="G197" s="152"/>
      <c r="H197" s="152"/>
      <c r="I197" s="152"/>
      <c r="J197" s="156"/>
      <c r="K197" s="156"/>
      <c r="L197" s="156"/>
      <c r="M197" s="156"/>
      <c r="N197" s="156"/>
      <c r="O197" s="156"/>
      <c r="P197" s="156"/>
      <c r="Q197" s="152"/>
      <c r="R197" s="152"/>
      <c r="S197" s="152"/>
      <c r="T197" s="152"/>
      <c r="U197" s="152"/>
      <c r="V197" s="152"/>
      <c r="W197" s="152"/>
      <c r="X197" s="152"/>
      <c r="Y197" s="149"/>
    </row>
    <row r="198" spans="3:25" s="151" customFormat="1" ht="12.75">
      <c r="C198" s="152"/>
      <c r="D198" s="152"/>
      <c r="E198" s="149"/>
      <c r="F198" s="152"/>
      <c r="G198" s="152"/>
      <c r="H198" s="152"/>
      <c r="I198" s="152"/>
      <c r="J198" s="156"/>
      <c r="K198" s="156"/>
      <c r="L198" s="156"/>
      <c r="M198" s="156"/>
      <c r="N198" s="156"/>
      <c r="O198" s="156"/>
      <c r="P198" s="156"/>
      <c r="Q198" s="152"/>
      <c r="R198" s="152"/>
      <c r="S198" s="152"/>
      <c r="T198" s="152"/>
      <c r="U198" s="152"/>
      <c r="V198" s="152"/>
      <c r="W198" s="152"/>
      <c r="X198" s="152"/>
      <c r="Y198" s="149"/>
    </row>
    <row r="199" spans="3:25" s="151" customFormat="1" ht="12.75">
      <c r="C199" s="152"/>
      <c r="D199" s="152"/>
      <c r="E199" s="149"/>
      <c r="F199" s="152"/>
      <c r="G199" s="152"/>
      <c r="H199" s="152"/>
      <c r="I199" s="152"/>
      <c r="J199" s="156"/>
      <c r="K199" s="156"/>
      <c r="L199" s="156"/>
      <c r="M199" s="156"/>
      <c r="N199" s="156"/>
      <c r="O199" s="156"/>
      <c r="P199" s="156"/>
      <c r="Q199" s="152"/>
      <c r="R199" s="152"/>
      <c r="S199" s="152"/>
      <c r="T199" s="152"/>
      <c r="U199" s="152"/>
      <c r="V199" s="152"/>
      <c r="W199" s="152"/>
      <c r="X199" s="152"/>
      <c r="Y199" s="149"/>
    </row>
    <row r="200" spans="3:25" s="151" customFormat="1" ht="12.75">
      <c r="C200" s="152"/>
      <c r="D200" s="152"/>
      <c r="E200" s="149"/>
      <c r="F200" s="152"/>
      <c r="G200" s="152"/>
      <c r="H200" s="152"/>
      <c r="I200" s="152"/>
      <c r="J200" s="156"/>
      <c r="K200" s="156"/>
      <c r="L200" s="156"/>
      <c r="M200" s="156"/>
      <c r="N200" s="156"/>
      <c r="O200" s="156"/>
      <c r="P200" s="156"/>
      <c r="Q200" s="152"/>
      <c r="R200" s="152"/>
      <c r="S200" s="152"/>
      <c r="T200" s="152"/>
      <c r="U200" s="152"/>
      <c r="V200" s="152"/>
      <c r="W200" s="152"/>
      <c r="X200" s="152"/>
      <c r="Y200" s="149"/>
    </row>
    <row r="201" spans="3:25" s="151" customFormat="1" ht="12.75">
      <c r="C201" s="152"/>
      <c r="D201" s="152"/>
      <c r="E201" s="149"/>
      <c r="F201" s="152"/>
      <c r="G201" s="152"/>
      <c r="H201" s="152"/>
      <c r="I201" s="152"/>
      <c r="J201" s="156"/>
      <c r="K201" s="156"/>
      <c r="L201" s="156"/>
      <c r="M201" s="156"/>
      <c r="N201" s="156"/>
      <c r="O201" s="156"/>
      <c r="P201" s="156"/>
      <c r="Q201" s="152"/>
      <c r="R201" s="152"/>
      <c r="S201" s="152"/>
      <c r="T201" s="152"/>
      <c r="U201" s="152"/>
      <c r="V201" s="152"/>
      <c r="W201" s="152"/>
      <c r="X201" s="152"/>
      <c r="Y201" s="149"/>
    </row>
    <row r="202" spans="3:25" s="151" customFormat="1" ht="12.75">
      <c r="C202" s="152"/>
      <c r="D202" s="152"/>
      <c r="E202" s="149"/>
      <c r="F202" s="152"/>
      <c r="G202" s="152"/>
      <c r="H202" s="152"/>
      <c r="I202" s="152"/>
      <c r="J202" s="156"/>
      <c r="K202" s="156"/>
      <c r="L202" s="156"/>
      <c r="M202" s="156"/>
      <c r="N202" s="156"/>
      <c r="O202" s="156"/>
      <c r="P202" s="156"/>
      <c r="Q202" s="152"/>
      <c r="R202" s="152"/>
      <c r="S202" s="152"/>
      <c r="T202" s="152"/>
      <c r="U202" s="152"/>
      <c r="V202" s="152"/>
      <c r="W202" s="152"/>
      <c r="X202" s="152"/>
      <c r="Y202" s="149"/>
    </row>
    <row r="203" spans="3:25" s="151" customFormat="1" ht="12.75">
      <c r="C203" s="152"/>
      <c r="D203" s="152"/>
      <c r="E203" s="149"/>
      <c r="F203" s="152"/>
      <c r="G203" s="152"/>
      <c r="H203" s="152"/>
      <c r="I203" s="152"/>
      <c r="J203" s="156"/>
      <c r="K203" s="156"/>
      <c r="L203" s="156"/>
      <c r="M203" s="156"/>
      <c r="N203" s="156"/>
      <c r="O203" s="156"/>
      <c r="P203" s="156"/>
      <c r="Q203" s="152"/>
      <c r="R203" s="152"/>
      <c r="S203" s="152"/>
      <c r="T203" s="152"/>
      <c r="U203" s="152"/>
      <c r="V203" s="152"/>
      <c r="W203" s="152"/>
      <c r="X203" s="152"/>
      <c r="Y203" s="149"/>
    </row>
    <row r="204" spans="3:25" s="151" customFormat="1" ht="12.75">
      <c r="C204" s="152"/>
      <c r="D204" s="152"/>
      <c r="E204" s="149"/>
      <c r="F204" s="152"/>
      <c r="G204" s="152"/>
      <c r="H204" s="152"/>
      <c r="I204" s="152"/>
      <c r="J204" s="156"/>
      <c r="K204" s="156"/>
      <c r="L204" s="156"/>
      <c r="M204" s="156"/>
      <c r="N204" s="156"/>
      <c r="O204" s="156"/>
      <c r="P204" s="156"/>
      <c r="Q204" s="152"/>
      <c r="R204" s="152"/>
      <c r="S204" s="152"/>
      <c r="T204" s="152"/>
      <c r="U204" s="152"/>
      <c r="V204" s="152"/>
      <c r="W204" s="152"/>
      <c r="X204" s="152"/>
      <c r="Y204" s="149"/>
    </row>
    <row r="205" spans="3:25" s="151" customFormat="1" ht="12.75">
      <c r="C205" s="152"/>
      <c r="D205" s="152"/>
      <c r="E205" s="149"/>
      <c r="F205" s="152"/>
      <c r="G205" s="152"/>
      <c r="H205" s="152"/>
      <c r="I205" s="152"/>
      <c r="J205" s="156"/>
      <c r="K205" s="156"/>
      <c r="L205" s="156"/>
      <c r="M205" s="156"/>
      <c r="N205" s="156"/>
      <c r="O205" s="156"/>
      <c r="P205" s="156"/>
      <c r="Q205" s="152"/>
      <c r="R205" s="152"/>
      <c r="S205" s="152"/>
      <c r="T205" s="152"/>
      <c r="U205" s="152"/>
      <c r="V205" s="152"/>
      <c r="W205" s="152"/>
      <c r="X205" s="152"/>
      <c r="Y205" s="149"/>
    </row>
    <row r="206" spans="3:25" s="151" customFormat="1" ht="12.75">
      <c r="C206" s="152"/>
      <c r="D206" s="152"/>
      <c r="E206" s="149"/>
      <c r="F206" s="152"/>
      <c r="G206" s="152"/>
      <c r="H206" s="152"/>
      <c r="I206" s="152"/>
      <c r="J206" s="156"/>
      <c r="K206" s="156"/>
      <c r="L206" s="156"/>
      <c r="M206" s="156"/>
      <c r="N206" s="156"/>
      <c r="O206" s="156"/>
      <c r="P206" s="156"/>
      <c r="Q206" s="152"/>
      <c r="R206" s="152"/>
      <c r="S206" s="152"/>
      <c r="T206" s="152"/>
      <c r="U206" s="152"/>
      <c r="V206" s="152"/>
      <c r="W206" s="152"/>
      <c r="X206" s="152"/>
      <c r="Y206" s="149"/>
    </row>
    <row r="207" spans="3:25" s="151" customFormat="1" ht="12.75">
      <c r="C207" s="152"/>
      <c r="D207" s="152"/>
      <c r="E207" s="149"/>
      <c r="F207" s="152"/>
      <c r="G207" s="152"/>
      <c r="H207" s="152"/>
      <c r="I207" s="152"/>
      <c r="J207" s="156"/>
      <c r="K207" s="156"/>
      <c r="L207" s="156"/>
      <c r="M207" s="156"/>
      <c r="N207" s="156"/>
      <c r="O207" s="156"/>
      <c r="P207" s="156"/>
      <c r="Q207" s="152"/>
      <c r="R207" s="152"/>
      <c r="S207" s="152"/>
      <c r="T207" s="152"/>
      <c r="U207" s="152"/>
      <c r="V207" s="152"/>
      <c r="W207" s="152"/>
      <c r="X207" s="152"/>
      <c r="Y207" s="149"/>
    </row>
    <row r="208" spans="3:25" s="151" customFormat="1" ht="12.75">
      <c r="C208" s="152"/>
      <c r="D208" s="152"/>
      <c r="E208" s="149"/>
      <c r="F208" s="152"/>
      <c r="G208" s="152"/>
      <c r="H208" s="152"/>
      <c r="I208" s="152"/>
      <c r="J208" s="156"/>
      <c r="K208" s="156"/>
      <c r="L208" s="156"/>
      <c r="M208" s="156"/>
      <c r="N208" s="156"/>
      <c r="O208" s="156"/>
      <c r="P208" s="156"/>
      <c r="Q208" s="152"/>
      <c r="R208" s="152"/>
      <c r="S208" s="152"/>
      <c r="T208" s="152"/>
      <c r="U208" s="152"/>
      <c r="V208" s="152"/>
      <c r="W208" s="152"/>
      <c r="X208" s="152"/>
      <c r="Y208" s="149"/>
    </row>
    <row r="209" spans="3:25" s="151" customFormat="1" ht="12.75">
      <c r="C209" s="152"/>
      <c r="D209" s="152"/>
      <c r="E209" s="149"/>
      <c r="F209" s="152"/>
      <c r="G209" s="152"/>
      <c r="H209" s="152"/>
      <c r="I209" s="152"/>
      <c r="J209" s="156"/>
      <c r="K209" s="156"/>
      <c r="L209" s="156"/>
      <c r="M209" s="156"/>
      <c r="N209" s="156"/>
      <c r="O209" s="156"/>
      <c r="P209" s="156"/>
      <c r="Q209" s="152"/>
      <c r="R209" s="152"/>
      <c r="S209" s="152"/>
      <c r="T209" s="152"/>
      <c r="U209" s="152"/>
      <c r="V209" s="152"/>
      <c r="W209" s="152"/>
      <c r="X209" s="152"/>
      <c r="Y209" s="149"/>
    </row>
    <row r="210" spans="3:25" s="151" customFormat="1" ht="12.75">
      <c r="C210" s="152"/>
      <c r="D210" s="152"/>
      <c r="E210" s="149"/>
      <c r="F210" s="152"/>
      <c r="G210" s="152"/>
      <c r="H210" s="152"/>
      <c r="I210" s="152"/>
      <c r="J210" s="156"/>
      <c r="K210" s="156"/>
      <c r="L210" s="156"/>
      <c r="M210" s="156"/>
      <c r="N210" s="156"/>
      <c r="O210" s="156"/>
      <c r="P210" s="156"/>
      <c r="Q210" s="152"/>
      <c r="R210" s="152"/>
      <c r="S210" s="152"/>
      <c r="T210" s="152"/>
      <c r="U210" s="152"/>
      <c r="V210" s="152"/>
      <c r="W210" s="152"/>
      <c r="X210" s="152"/>
      <c r="Y210" s="149"/>
    </row>
    <row r="211" spans="3:25" s="151" customFormat="1" ht="12.75">
      <c r="C211" s="152"/>
      <c r="D211" s="152"/>
      <c r="E211" s="149"/>
      <c r="F211" s="152"/>
      <c r="G211" s="152"/>
      <c r="H211" s="152"/>
      <c r="I211" s="152"/>
      <c r="J211" s="156"/>
      <c r="K211" s="156"/>
      <c r="L211" s="156"/>
      <c r="M211" s="156"/>
      <c r="N211" s="156"/>
      <c r="O211" s="156"/>
      <c r="P211" s="156"/>
      <c r="Q211" s="152"/>
      <c r="R211" s="152"/>
      <c r="S211" s="152"/>
      <c r="T211" s="152"/>
      <c r="U211" s="152"/>
      <c r="V211" s="152"/>
      <c r="W211" s="152"/>
      <c r="X211" s="152"/>
      <c r="Y211" s="149"/>
    </row>
    <row r="212" spans="3:25" s="151" customFormat="1" ht="12.75">
      <c r="C212" s="152"/>
      <c r="D212" s="152"/>
      <c r="E212" s="149"/>
      <c r="F212" s="152"/>
      <c r="G212" s="152"/>
      <c r="H212" s="152"/>
      <c r="I212" s="152"/>
      <c r="J212" s="156"/>
      <c r="K212" s="156"/>
      <c r="L212" s="156"/>
      <c r="M212" s="156"/>
      <c r="N212" s="156"/>
      <c r="O212" s="156"/>
      <c r="P212" s="156"/>
      <c r="Q212" s="152"/>
      <c r="R212" s="152"/>
      <c r="S212" s="152"/>
      <c r="T212" s="152"/>
      <c r="U212" s="152"/>
      <c r="V212" s="152"/>
      <c r="W212" s="152"/>
      <c r="X212" s="152"/>
      <c r="Y212" s="149"/>
    </row>
    <row r="213" spans="3:25" s="151" customFormat="1" ht="12.75">
      <c r="C213" s="152"/>
      <c r="D213" s="152"/>
      <c r="E213" s="149"/>
      <c r="F213" s="152"/>
      <c r="G213" s="152"/>
      <c r="H213" s="152"/>
      <c r="I213" s="152"/>
      <c r="J213" s="156"/>
      <c r="K213" s="156"/>
      <c r="L213" s="156"/>
      <c r="M213" s="156"/>
      <c r="N213" s="156"/>
      <c r="O213" s="156"/>
      <c r="P213" s="156"/>
      <c r="Q213" s="152"/>
      <c r="R213" s="152"/>
      <c r="S213" s="152"/>
      <c r="T213" s="152"/>
      <c r="U213" s="152"/>
      <c r="V213" s="152"/>
      <c r="W213" s="152"/>
      <c r="X213" s="152"/>
      <c r="Y213" s="149"/>
    </row>
    <row r="214" spans="3:25" s="151" customFormat="1" ht="12.75">
      <c r="C214" s="152"/>
      <c r="D214" s="152"/>
      <c r="E214" s="149"/>
      <c r="F214" s="152"/>
      <c r="G214" s="152"/>
      <c r="H214" s="152"/>
      <c r="I214" s="152"/>
      <c r="J214" s="156"/>
      <c r="K214" s="156"/>
      <c r="L214" s="156"/>
      <c r="M214" s="156"/>
      <c r="N214" s="156"/>
      <c r="O214" s="156"/>
      <c r="P214" s="156"/>
      <c r="Q214" s="152"/>
      <c r="R214" s="152"/>
      <c r="S214" s="152"/>
      <c r="T214" s="152"/>
      <c r="U214" s="152"/>
      <c r="V214" s="152"/>
      <c r="W214" s="152"/>
      <c r="X214" s="152"/>
      <c r="Y214" s="149"/>
    </row>
    <row r="215" spans="3:25" s="151" customFormat="1" ht="12.75">
      <c r="C215" s="152"/>
      <c r="D215" s="152"/>
      <c r="E215" s="149"/>
      <c r="F215" s="152"/>
      <c r="G215" s="152"/>
      <c r="H215" s="152"/>
      <c r="I215" s="152"/>
      <c r="J215" s="156"/>
      <c r="K215" s="156"/>
      <c r="L215" s="156"/>
      <c r="M215" s="156"/>
      <c r="N215" s="156"/>
      <c r="O215" s="156"/>
      <c r="P215" s="156"/>
      <c r="Q215" s="152"/>
      <c r="R215" s="152"/>
      <c r="S215" s="152"/>
      <c r="T215" s="152"/>
      <c r="U215" s="152"/>
      <c r="V215" s="152"/>
      <c r="W215" s="152"/>
      <c r="X215" s="152"/>
      <c r="Y215" s="149"/>
    </row>
    <row r="216" spans="3:25" s="151" customFormat="1" ht="12.75">
      <c r="C216" s="152"/>
      <c r="D216" s="152"/>
      <c r="E216" s="149"/>
      <c r="F216" s="152"/>
      <c r="G216" s="152"/>
      <c r="H216" s="152"/>
      <c r="I216" s="152"/>
      <c r="J216" s="156"/>
      <c r="K216" s="156"/>
      <c r="L216" s="156"/>
      <c r="M216" s="156"/>
      <c r="N216" s="156"/>
      <c r="O216" s="156"/>
      <c r="P216" s="156"/>
      <c r="Q216" s="152"/>
      <c r="R216" s="152"/>
      <c r="S216" s="152"/>
      <c r="T216" s="152"/>
      <c r="U216" s="152"/>
      <c r="V216" s="152"/>
      <c r="W216" s="152"/>
      <c r="X216" s="152"/>
      <c r="Y216" s="149"/>
    </row>
    <row r="217" spans="3:25" s="151" customFormat="1" ht="12.75">
      <c r="C217" s="152"/>
      <c r="D217" s="152"/>
      <c r="E217" s="149"/>
      <c r="F217" s="152"/>
      <c r="G217" s="152"/>
      <c r="H217" s="152"/>
      <c r="I217" s="152"/>
      <c r="J217" s="156"/>
      <c r="K217" s="156"/>
      <c r="L217" s="156"/>
      <c r="M217" s="156"/>
      <c r="N217" s="156"/>
      <c r="O217" s="156"/>
      <c r="P217" s="156"/>
      <c r="Q217" s="152"/>
      <c r="R217" s="152"/>
      <c r="S217" s="152"/>
      <c r="T217" s="152"/>
      <c r="U217" s="152"/>
      <c r="V217" s="152"/>
      <c r="W217" s="152"/>
      <c r="X217" s="152"/>
      <c r="Y217" s="149"/>
    </row>
    <row r="218" spans="3:25" s="151" customFormat="1" ht="12.75">
      <c r="C218" s="152"/>
      <c r="D218" s="152"/>
      <c r="E218" s="149"/>
      <c r="F218" s="152"/>
      <c r="G218" s="152"/>
      <c r="H218" s="152"/>
      <c r="I218" s="152"/>
      <c r="J218" s="156"/>
      <c r="K218" s="156"/>
      <c r="L218" s="156"/>
      <c r="M218" s="156"/>
      <c r="N218" s="156"/>
      <c r="O218" s="156"/>
      <c r="P218" s="156"/>
      <c r="Q218" s="152"/>
      <c r="R218" s="152"/>
      <c r="S218" s="152"/>
      <c r="T218" s="152"/>
      <c r="U218" s="152"/>
      <c r="V218" s="152"/>
      <c r="W218" s="152"/>
      <c r="X218" s="152"/>
      <c r="Y218" s="149"/>
    </row>
    <row r="219" spans="3:25" s="151" customFormat="1" ht="12.75">
      <c r="C219" s="152"/>
      <c r="D219" s="152"/>
      <c r="E219" s="149"/>
      <c r="F219" s="152"/>
      <c r="G219" s="152"/>
      <c r="H219" s="152"/>
      <c r="I219" s="152"/>
      <c r="J219" s="156"/>
      <c r="K219" s="156"/>
      <c r="L219" s="156"/>
      <c r="M219" s="156"/>
      <c r="N219" s="156"/>
      <c r="O219" s="156"/>
      <c r="P219" s="156"/>
      <c r="Q219" s="152"/>
      <c r="R219" s="152"/>
      <c r="S219" s="152"/>
      <c r="T219" s="152"/>
      <c r="U219" s="152"/>
      <c r="V219" s="152"/>
      <c r="W219" s="152"/>
      <c r="X219" s="152"/>
      <c r="Y219" s="149"/>
    </row>
    <row r="220" spans="3:25" s="151" customFormat="1" ht="12.75">
      <c r="C220" s="152"/>
      <c r="D220" s="152"/>
      <c r="E220" s="149"/>
      <c r="F220" s="152"/>
      <c r="G220" s="152"/>
      <c r="H220" s="152"/>
      <c r="I220" s="152"/>
      <c r="J220" s="156"/>
      <c r="K220" s="156"/>
      <c r="L220" s="156"/>
      <c r="M220" s="156"/>
      <c r="N220" s="156"/>
      <c r="O220" s="156"/>
      <c r="P220" s="156"/>
      <c r="Q220" s="152"/>
      <c r="R220" s="152"/>
      <c r="S220" s="152"/>
      <c r="T220" s="152"/>
      <c r="U220" s="152"/>
      <c r="V220" s="152"/>
      <c r="W220" s="152"/>
      <c r="X220" s="152"/>
      <c r="Y220" s="149"/>
    </row>
    <row r="221" spans="3:25" s="151" customFormat="1" ht="12.75">
      <c r="C221" s="152"/>
      <c r="D221" s="152"/>
      <c r="E221" s="149"/>
      <c r="F221" s="152"/>
      <c r="G221" s="152"/>
      <c r="H221" s="152"/>
      <c r="I221" s="152"/>
      <c r="J221" s="156"/>
      <c r="K221" s="156"/>
      <c r="L221" s="156"/>
      <c r="M221" s="156"/>
      <c r="N221" s="156"/>
      <c r="O221" s="156"/>
      <c r="P221" s="156"/>
      <c r="Q221" s="152"/>
      <c r="R221" s="152"/>
      <c r="S221" s="152"/>
      <c r="T221" s="152"/>
      <c r="U221" s="152"/>
      <c r="V221" s="152"/>
      <c r="W221" s="152"/>
      <c r="X221" s="152"/>
      <c r="Y221" s="149"/>
    </row>
    <row r="222" spans="3:25" s="151" customFormat="1" ht="12.75">
      <c r="C222" s="152"/>
      <c r="D222" s="152"/>
      <c r="E222" s="149"/>
      <c r="F222" s="152"/>
      <c r="G222" s="152"/>
      <c r="H222" s="152"/>
      <c r="I222" s="152"/>
      <c r="J222" s="156"/>
      <c r="K222" s="156"/>
      <c r="L222" s="156"/>
      <c r="M222" s="156"/>
      <c r="N222" s="156"/>
      <c r="O222" s="156"/>
      <c r="P222" s="156"/>
      <c r="Q222" s="152"/>
      <c r="R222" s="152"/>
      <c r="S222" s="152"/>
      <c r="T222" s="152"/>
      <c r="U222" s="152"/>
      <c r="V222" s="152"/>
      <c r="W222" s="152"/>
      <c r="X222" s="152"/>
      <c r="Y222" s="149"/>
    </row>
    <row r="223" spans="3:25" s="151" customFormat="1" ht="12.75">
      <c r="C223" s="152"/>
      <c r="D223" s="152"/>
      <c r="E223" s="149"/>
      <c r="F223" s="152"/>
      <c r="G223" s="152"/>
      <c r="H223" s="152"/>
      <c r="I223" s="152"/>
      <c r="J223" s="156"/>
      <c r="K223" s="156"/>
      <c r="L223" s="156"/>
      <c r="M223" s="156"/>
      <c r="N223" s="156"/>
      <c r="O223" s="156"/>
      <c r="P223" s="156"/>
      <c r="Q223" s="152"/>
      <c r="R223" s="152"/>
      <c r="S223" s="152"/>
      <c r="T223" s="152"/>
      <c r="U223" s="152"/>
      <c r="V223" s="152"/>
      <c r="W223" s="152"/>
      <c r="X223" s="152"/>
      <c r="Y223" s="149"/>
    </row>
    <row r="224" spans="3:25" s="151" customFormat="1" ht="12.75">
      <c r="C224" s="152"/>
      <c r="D224" s="152"/>
      <c r="E224" s="149"/>
      <c r="F224" s="152"/>
      <c r="G224" s="152"/>
      <c r="H224" s="152"/>
      <c r="I224" s="152"/>
      <c r="J224" s="156"/>
      <c r="K224" s="156"/>
      <c r="L224" s="156"/>
      <c r="M224" s="156"/>
      <c r="N224" s="156"/>
      <c r="O224" s="156"/>
      <c r="P224" s="156"/>
      <c r="Q224" s="152"/>
      <c r="R224" s="152"/>
      <c r="S224" s="152"/>
      <c r="T224" s="152"/>
      <c r="U224" s="152"/>
      <c r="V224" s="152"/>
      <c r="W224" s="152"/>
      <c r="X224" s="152"/>
      <c r="Y224" s="149"/>
    </row>
    <row r="225" spans="3:25" s="151" customFormat="1" ht="12.75">
      <c r="C225" s="152"/>
      <c r="D225" s="152"/>
      <c r="E225" s="149"/>
      <c r="F225" s="152"/>
      <c r="G225" s="152"/>
      <c r="H225" s="152"/>
      <c r="I225" s="152"/>
      <c r="J225" s="156"/>
      <c r="K225" s="156"/>
      <c r="L225" s="156"/>
      <c r="M225" s="156"/>
      <c r="N225" s="156"/>
      <c r="O225" s="156"/>
      <c r="P225" s="156"/>
      <c r="Q225" s="152"/>
      <c r="R225" s="152"/>
      <c r="S225" s="152"/>
      <c r="T225" s="152"/>
      <c r="U225" s="152"/>
      <c r="V225" s="152"/>
      <c r="W225" s="152"/>
      <c r="X225" s="152"/>
      <c r="Y225" s="149"/>
    </row>
    <row r="226" spans="3:25" s="151" customFormat="1" ht="12.75">
      <c r="C226" s="152"/>
      <c r="D226" s="152"/>
      <c r="E226" s="149"/>
      <c r="F226" s="152"/>
      <c r="G226" s="152"/>
      <c r="H226" s="152"/>
      <c r="I226" s="152"/>
      <c r="J226" s="156"/>
      <c r="K226" s="156"/>
      <c r="L226" s="156"/>
      <c r="M226" s="156"/>
      <c r="N226" s="156"/>
      <c r="O226" s="156"/>
      <c r="P226" s="156"/>
      <c r="Q226" s="152"/>
      <c r="R226" s="152"/>
      <c r="S226" s="152"/>
      <c r="T226" s="152"/>
      <c r="U226" s="152"/>
      <c r="V226" s="152"/>
      <c r="W226" s="152"/>
      <c r="X226" s="152"/>
      <c r="Y226" s="149"/>
    </row>
    <row r="227" spans="3:25" s="151" customFormat="1" ht="12.75">
      <c r="C227" s="152"/>
      <c r="D227" s="152"/>
      <c r="E227" s="149"/>
      <c r="F227" s="152"/>
      <c r="G227" s="152"/>
      <c r="H227" s="152"/>
      <c r="I227" s="152"/>
      <c r="J227" s="156"/>
      <c r="K227" s="156"/>
      <c r="L227" s="156"/>
      <c r="M227" s="156"/>
      <c r="N227" s="156"/>
      <c r="O227" s="156"/>
      <c r="P227" s="156"/>
      <c r="Q227" s="152"/>
      <c r="R227" s="152"/>
      <c r="S227" s="152"/>
      <c r="T227" s="152"/>
      <c r="U227" s="152"/>
      <c r="V227" s="152"/>
      <c r="W227" s="152"/>
      <c r="X227" s="152"/>
      <c r="Y227" s="149"/>
    </row>
    <row r="228" spans="3:25" s="151" customFormat="1" ht="12.75">
      <c r="C228" s="152"/>
      <c r="D228" s="152"/>
      <c r="E228" s="149"/>
      <c r="F228" s="152"/>
      <c r="G228" s="152"/>
      <c r="H228" s="152"/>
      <c r="I228" s="152"/>
      <c r="J228" s="156"/>
      <c r="K228" s="156"/>
      <c r="L228" s="156"/>
      <c r="M228" s="156"/>
      <c r="N228" s="156"/>
      <c r="O228" s="156"/>
      <c r="P228" s="156"/>
      <c r="Q228" s="152"/>
      <c r="R228" s="152"/>
      <c r="S228" s="152"/>
      <c r="T228" s="152"/>
      <c r="U228" s="152"/>
      <c r="V228" s="152"/>
      <c r="W228" s="152"/>
      <c r="X228" s="152"/>
      <c r="Y228" s="149"/>
    </row>
    <row r="229" spans="3:25" s="151" customFormat="1" ht="12.75">
      <c r="C229" s="152"/>
      <c r="D229" s="152"/>
      <c r="E229" s="149"/>
      <c r="F229" s="152"/>
      <c r="G229" s="152"/>
      <c r="H229" s="152"/>
      <c r="I229" s="152"/>
      <c r="J229" s="156"/>
      <c r="K229" s="156"/>
      <c r="L229" s="156"/>
      <c r="M229" s="156"/>
      <c r="N229" s="156"/>
      <c r="O229" s="156"/>
      <c r="P229" s="156"/>
      <c r="Q229" s="152"/>
      <c r="R229" s="152"/>
      <c r="S229" s="152"/>
      <c r="T229" s="152"/>
      <c r="U229" s="152"/>
      <c r="V229" s="152"/>
      <c r="W229" s="152"/>
      <c r="X229" s="152"/>
      <c r="Y229" s="149"/>
    </row>
    <row r="230" spans="3:25" s="151" customFormat="1" ht="12.75">
      <c r="C230" s="152"/>
      <c r="D230" s="152"/>
      <c r="E230" s="149"/>
      <c r="F230" s="152"/>
      <c r="G230" s="152"/>
      <c r="H230" s="152"/>
      <c r="I230" s="152"/>
      <c r="J230" s="156"/>
      <c r="K230" s="156"/>
      <c r="L230" s="156"/>
      <c r="M230" s="156"/>
      <c r="N230" s="156"/>
      <c r="O230" s="156"/>
      <c r="P230" s="156"/>
      <c r="Q230" s="152"/>
      <c r="R230" s="152"/>
      <c r="S230" s="152"/>
      <c r="T230" s="152"/>
      <c r="U230" s="152"/>
      <c r="V230" s="152"/>
      <c r="W230" s="152"/>
      <c r="X230" s="152"/>
      <c r="Y230" s="149"/>
    </row>
    <row r="231" spans="3:25" s="151" customFormat="1" ht="12.75">
      <c r="C231" s="152"/>
      <c r="D231" s="152"/>
      <c r="E231" s="149"/>
      <c r="F231" s="152"/>
      <c r="G231" s="152"/>
      <c r="H231" s="152"/>
      <c r="I231" s="152"/>
      <c r="J231" s="156"/>
      <c r="K231" s="156"/>
      <c r="L231" s="156"/>
      <c r="M231" s="156"/>
      <c r="N231" s="156"/>
      <c r="O231" s="156"/>
      <c r="P231" s="156"/>
      <c r="Q231" s="152"/>
      <c r="R231" s="152"/>
      <c r="S231" s="152"/>
      <c r="T231" s="152"/>
      <c r="U231" s="152"/>
      <c r="V231" s="152"/>
      <c r="W231" s="152"/>
      <c r="X231" s="152"/>
      <c r="Y231" s="149"/>
    </row>
    <row r="232" spans="3:25" s="151" customFormat="1" ht="12.75">
      <c r="C232" s="152"/>
      <c r="D232" s="152"/>
      <c r="E232" s="149"/>
      <c r="F232" s="152"/>
      <c r="G232" s="152"/>
      <c r="H232" s="152"/>
      <c r="I232" s="152"/>
      <c r="J232" s="156"/>
      <c r="K232" s="156"/>
      <c r="L232" s="156"/>
      <c r="M232" s="156"/>
      <c r="N232" s="156"/>
      <c r="O232" s="156"/>
      <c r="P232" s="156"/>
      <c r="Q232" s="152"/>
      <c r="R232" s="152"/>
      <c r="S232" s="152"/>
      <c r="T232" s="152"/>
      <c r="U232" s="152"/>
      <c r="V232" s="152"/>
      <c r="W232" s="152"/>
      <c r="X232" s="152"/>
      <c r="Y232" s="149"/>
    </row>
    <row r="233" spans="3:25" s="151" customFormat="1" ht="12.75">
      <c r="C233" s="152"/>
      <c r="D233" s="152"/>
      <c r="E233" s="149"/>
      <c r="F233" s="152"/>
      <c r="G233" s="152"/>
      <c r="H233" s="152"/>
      <c r="I233" s="152"/>
      <c r="J233" s="156"/>
      <c r="K233" s="156"/>
      <c r="L233" s="156"/>
      <c r="M233" s="156"/>
      <c r="N233" s="156"/>
      <c r="O233" s="156"/>
      <c r="P233" s="156"/>
      <c r="Q233" s="152"/>
      <c r="R233" s="152"/>
      <c r="S233" s="152"/>
      <c r="T233" s="152"/>
      <c r="U233" s="152"/>
      <c r="V233" s="152"/>
      <c r="W233" s="152"/>
      <c r="X233" s="152"/>
      <c r="Y233" s="149"/>
    </row>
    <row r="234" spans="3:25" s="151" customFormat="1" ht="12.75">
      <c r="C234" s="152"/>
      <c r="D234" s="152"/>
      <c r="E234" s="149"/>
      <c r="F234" s="152"/>
      <c r="G234" s="152"/>
      <c r="H234" s="152"/>
      <c r="I234" s="152"/>
      <c r="J234" s="156"/>
      <c r="K234" s="156"/>
      <c r="L234" s="156"/>
      <c r="M234" s="156"/>
      <c r="N234" s="156"/>
      <c r="O234" s="156"/>
      <c r="P234" s="156"/>
      <c r="Q234" s="152"/>
      <c r="R234" s="152"/>
      <c r="S234" s="152"/>
      <c r="T234" s="152"/>
      <c r="U234" s="152"/>
      <c r="V234" s="152"/>
      <c r="W234" s="152"/>
      <c r="X234" s="152"/>
      <c r="Y234" s="149"/>
    </row>
    <row r="235" spans="3:25" s="151" customFormat="1" ht="12.75">
      <c r="C235" s="152"/>
      <c r="D235" s="152"/>
      <c r="E235" s="149"/>
      <c r="F235" s="152"/>
      <c r="G235" s="152"/>
      <c r="H235" s="152"/>
      <c r="I235" s="152"/>
      <c r="J235" s="156"/>
      <c r="K235" s="156"/>
      <c r="L235" s="156"/>
      <c r="M235" s="156"/>
      <c r="N235" s="156"/>
      <c r="O235" s="156"/>
      <c r="P235" s="156"/>
      <c r="Q235" s="152"/>
      <c r="R235" s="152"/>
      <c r="S235" s="152"/>
      <c r="T235" s="152"/>
      <c r="U235" s="152"/>
      <c r="V235" s="152"/>
      <c r="W235" s="152"/>
      <c r="X235" s="152"/>
      <c r="Y235" s="149"/>
    </row>
    <row r="236" spans="3:25" s="151" customFormat="1" ht="12.75">
      <c r="C236" s="152"/>
      <c r="D236" s="152"/>
      <c r="E236" s="149"/>
      <c r="F236" s="152"/>
      <c r="G236" s="152"/>
      <c r="H236" s="152"/>
      <c r="I236" s="152"/>
      <c r="J236" s="156"/>
      <c r="K236" s="156"/>
      <c r="L236" s="156"/>
      <c r="M236" s="156"/>
      <c r="N236" s="156"/>
      <c r="O236" s="156"/>
      <c r="P236" s="156"/>
      <c r="Q236" s="152"/>
      <c r="R236" s="152"/>
      <c r="S236" s="152"/>
      <c r="T236" s="152"/>
      <c r="U236" s="152"/>
      <c r="V236" s="152"/>
      <c r="W236" s="152"/>
      <c r="X236" s="152"/>
      <c r="Y236" s="149"/>
    </row>
    <row r="237" spans="3:25" s="151" customFormat="1" ht="12.75">
      <c r="C237" s="152"/>
      <c r="D237" s="152"/>
      <c r="E237" s="149"/>
      <c r="F237" s="152"/>
      <c r="G237" s="152"/>
      <c r="H237" s="152"/>
      <c r="I237" s="152"/>
      <c r="J237" s="156"/>
      <c r="K237" s="156"/>
      <c r="L237" s="156"/>
      <c r="M237" s="156"/>
      <c r="N237" s="156"/>
      <c r="O237" s="156"/>
      <c r="P237" s="156"/>
      <c r="Q237" s="152"/>
      <c r="R237" s="152"/>
      <c r="S237" s="152"/>
      <c r="T237" s="152"/>
      <c r="U237" s="152"/>
      <c r="V237" s="152"/>
      <c r="W237" s="152"/>
      <c r="X237" s="152"/>
      <c r="Y237" s="149"/>
    </row>
    <row r="238" spans="3:25" s="151" customFormat="1" ht="12.75">
      <c r="C238" s="152"/>
      <c r="D238" s="152"/>
      <c r="E238" s="149"/>
      <c r="F238" s="152"/>
      <c r="G238" s="152"/>
      <c r="H238" s="152"/>
      <c r="I238" s="152"/>
      <c r="J238" s="156"/>
      <c r="K238" s="156"/>
      <c r="L238" s="156"/>
      <c r="M238" s="156"/>
      <c r="N238" s="156"/>
      <c r="O238" s="156"/>
      <c r="P238" s="156"/>
      <c r="Q238" s="152"/>
      <c r="R238" s="152"/>
      <c r="S238" s="152"/>
      <c r="T238" s="152"/>
      <c r="U238" s="152"/>
      <c r="V238" s="152"/>
      <c r="W238" s="152"/>
      <c r="X238" s="152"/>
      <c r="Y238" s="149"/>
    </row>
    <row r="239" spans="3:25" s="151" customFormat="1" ht="12.75">
      <c r="C239" s="152"/>
      <c r="D239" s="152"/>
      <c r="E239" s="149"/>
      <c r="F239" s="152"/>
      <c r="G239" s="152"/>
      <c r="H239" s="152"/>
      <c r="I239" s="152"/>
      <c r="J239" s="156"/>
      <c r="K239" s="156"/>
      <c r="L239" s="156"/>
      <c r="M239" s="156"/>
      <c r="N239" s="156"/>
      <c r="O239" s="156"/>
      <c r="P239" s="156"/>
      <c r="Q239" s="152"/>
      <c r="R239" s="152"/>
      <c r="S239" s="152"/>
      <c r="T239" s="152"/>
      <c r="U239" s="152"/>
      <c r="V239" s="152"/>
      <c r="W239" s="152"/>
      <c r="X239" s="152"/>
      <c r="Y239" s="149"/>
    </row>
    <row r="240" spans="3:25" s="151" customFormat="1" ht="12.75">
      <c r="C240" s="152"/>
      <c r="D240" s="152"/>
      <c r="E240" s="149"/>
      <c r="F240" s="152"/>
      <c r="G240" s="152"/>
      <c r="H240" s="152"/>
      <c r="I240" s="152"/>
      <c r="J240" s="156"/>
      <c r="K240" s="156"/>
      <c r="L240" s="156"/>
      <c r="M240" s="156"/>
      <c r="N240" s="156"/>
      <c r="O240" s="156"/>
      <c r="P240" s="156"/>
      <c r="Q240" s="152"/>
      <c r="R240" s="152"/>
      <c r="S240" s="152"/>
      <c r="T240" s="152"/>
      <c r="U240" s="152"/>
      <c r="V240" s="152"/>
      <c r="W240" s="152"/>
      <c r="X240" s="152"/>
      <c r="Y240" s="149"/>
    </row>
    <row r="241" spans="3:25" s="151" customFormat="1" ht="12.75">
      <c r="C241" s="152"/>
      <c r="D241" s="152"/>
      <c r="E241" s="149"/>
      <c r="F241" s="152"/>
      <c r="G241" s="152"/>
      <c r="H241" s="152"/>
      <c r="I241" s="152"/>
      <c r="J241" s="156"/>
      <c r="K241" s="156"/>
      <c r="L241" s="156"/>
      <c r="M241" s="156"/>
      <c r="N241" s="156"/>
      <c r="O241" s="156"/>
      <c r="P241" s="156"/>
      <c r="Q241" s="152"/>
      <c r="R241" s="152"/>
      <c r="S241" s="152"/>
      <c r="T241" s="152"/>
      <c r="U241" s="152"/>
      <c r="V241" s="152"/>
      <c r="W241" s="152"/>
      <c r="X241" s="152"/>
      <c r="Y241" s="149"/>
    </row>
    <row r="242" spans="3:25" s="151" customFormat="1" ht="12.75">
      <c r="C242" s="152"/>
      <c r="D242" s="152"/>
      <c r="E242" s="149"/>
      <c r="F242" s="152"/>
      <c r="G242" s="152"/>
      <c r="H242" s="152"/>
      <c r="I242" s="152"/>
      <c r="J242" s="156"/>
      <c r="K242" s="156"/>
      <c r="L242" s="156"/>
      <c r="M242" s="156"/>
      <c r="N242" s="156"/>
      <c r="O242" s="156"/>
      <c r="P242" s="156"/>
      <c r="Q242" s="152"/>
      <c r="R242" s="152"/>
      <c r="S242" s="152"/>
      <c r="T242" s="152"/>
      <c r="U242" s="152"/>
      <c r="V242" s="152"/>
      <c r="W242" s="152"/>
      <c r="X242" s="152"/>
      <c r="Y242" s="149"/>
    </row>
    <row r="243" spans="3:25" s="151" customFormat="1" ht="12.75">
      <c r="C243" s="152"/>
      <c r="D243" s="152"/>
      <c r="E243" s="149"/>
      <c r="F243" s="152"/>
      <c r="G243" s="152"/>
      <c r="H243" s="152"/>
      <c r="I243" s="152"/>
      <c r="J243" s="156"/>
      <c r="K243" s="156"/>
      <c r="L243" s="156"/>
      <c r="M243" s="156"/>
      <c r="N243" s="156"/>
      <c r="O243" s="156"/>
      <c r="P243" s="156"/>
      <c r="Q243" s="152"/>
      <c r="R243" s="152"/>
      <c r="S243" s="152"/>
      <c r="T243" s="152"/>
      <c r="U243" s="152"/>
      <c r="V243" s="152"/>
      <c r="W243" s="152"/>
      <c r="X243" s="152"/>
      <c r="Y243" s="149"/>
    </row>
    <row r="244" spans="3:25" s="151" customFormat="1" ht="12.75">
      <c r="C244" s="152"/>
      <c r="D244" s="152"/>
      <c r="E244" s="149"/>
      <c r="F244" s="152"/>
      <c r="G244" s="152"/>
      <c r="H244" s="152"/>
      <c r="I244" s="152"/>
      <c r="J244" s="156"/>
      <c r="K244" s="156"/>
      <c r="L244" s="156"/>
      <c r="M244" s="156"/>
      <c r="N244" s="156"/>
      <c r="O244" s="156"/>
      <c r="P244" s="156"/>
      <c r="Q244" s="152"/>
      <c r="R244" s="152"/>
      <c r="S244" s="152"/>
      <c r="T244" s="152"/>
      <c r="U244" s="152"/>
      <c r="V244" s="152"/>
      <c r="W244" s="152"/>
      <c r="X244" s="152"/>
      <c r="Y244" s="149"/>
    </row>
    <row r="245" spans="3:25" s="151" customFormat="1" ht="12.75">
      <c r="C245" s="152"/>
      <c r="D245" s="152"/>
      <c r="E245" s="149"/>
      <c r="F245" s="152"/>
      <c r="G245" s="152"/>
      <c r="H245" s="152"/>
      <c r="I245" s="152"/>
      <c r="J245" s="156"/>
      <c r="K245" s="156"/>
      <c r="L245" s="156"/>
      <c r="M245" s="156"/>
      <c r="N245" s="156"/>
      <c r="O245" s="156"/>
      <c r="P245" s="156"/>
      <c r="Q245" s="152"/>
      <c r="R245" s="152"/>
      <c r="S245" s="152"/>
      <c r="T245" s="152"/>
      <c r="U245" s="152"/>
      <c r="V245" s="152"/>
      <c r="W245" s="152"/>
      <c r="X245" s="152"/>
      <c r="Y245" s="149"/>
    </row>
    <row r="246" spans="3:25" s="151" customFormat="1" ht="12.75">
      <c r="C246" s="152"/>
      <c r="D246" s="152"/>
      <c r="E246" s="149"/>
      <c r="F246" s="152"/>
      <c r="G246" s="152"/>
      <c r="H246" s="152"/>
      <c r="I246" s="152"/>
      <c r="J246" s="156"/>
      <c r="K246" s="156"/>
      <c r="L246" s="156"/>
      <c r="M246" s="156"/>
      <c r="N246" s="156"/>
      <c r="O246" s="156"/>
      <c r="P246" s="156"/>
      <c r="Q246" s="152"/>
      <c r="R246" s="152"/>
      <c r="S246" s="152"/>
      <c r="T246" s="152"/>
      <c r="U246" s="152"/>
      <c r="V246" s="152"/>
      <c r="W246" s="152"/>
      <c r="X246" s="152"/>
      <c r="Y246" s="149"/>
    </row>
    <row r="247" spans="3:25" s="151" customFormat="1" ht="12.75">
      <c r="C247" s="152"/>
      <c r="D247" s="152"/>
      <c r="E247" s="149"/>
      <c r="F247" s="152"/>
      <c r="G247" s="152"/>
      <c r="H247" s="152"/>
      <c r="I247" s="152"/>
      <c r="J247" s="156"/>
      <c r="K247" s="156"/>
      <c r="L247" s="156"/>
      <c r="M247" s="156"/>
      <c r="N247" s="156"/>
      <c r="O247" s="156"/>
      <c r="P247" s="156"/>
      <c r="Q247" s="152"/>
      <c r="R247" s="152"/>
      <c r="S247" s="152"/>
      <c r="T247" s="152"/>
      <c r="U247" s="152"/>
      <c r="V247" s="152"/>
      <c r="W247" s="152"/>
      <c r="X247" s="152"/>
      <c r="Y247" s="149"/>
    </row>
    <row r="248" spans="3:25" s="151" customFormat="1" ht="12.75">
      <c r="C248" s="152"/>
      <c r="D248" s="152"/>
      <c r="E248" s="149"/>
      <c r="F248" s="152"/>
      <c r="G248" s="152"/>
      <c r="H248" s="152"/>
      <c r="I248" s="152"/>
      <c r="J248" s="156"/>
      <c r="K248" s="156"/>
      <c r="L248" s="156"/>
      <c r="M248" s="156"/>
      <c r="N248" s="156"/>
      <c r="O248" s="156"/>
      <c r="P248" s="156"/>
      <c r="Q248" s="152"/>
      <c r="R248" s="152"/>
      <c r="S248" s="152"/>
      <c r="T248" s="152"/>
      <c r="U248" s="152"/>
      <c r="V248" s="152"/>
      <c r="W248" s="152"/>
      <c r="X248" s="152"/>
      <c r="Y248" s="149"/>
    </row>
    <row r="249" spans="3:25" s="151" customFormat="1" ht="12.75">
      <c r="C249" s="152"/>
      <c r="D249" s="152"/>
      <c r="E249" s="149"/>
      <c r="F249" s="152"/>
      <c r="G249" s="152"/>
      <c r="H249" s="152"/>
      <c r="I249" s="152"/>
      <c r="J249" s="156"/>
      <c r="K249" s="156"/>
      <c r="L249" s="156"/>
      <c r="M249" s="156"/>
      <c r="N249" s="156"/>
      <c r="O249" s="156"/>
      <c r="P249" s="156"/>
      <c r="Q249" s="152"/>
      <c r="R249" s="152"/>
      <c r="S249" s="152"/>
      <c r="T249" s="152"/>
      <c r="U249" s="152"/>
      <c r="V249" s="152"/>
      <c r="W249" s="152"/>
      <c r="X249" s="152"/>
      <c r="Y249" s="149"/>
    </row>
    <row r="250" spans="3:25" s="151" customFormat="1" ht="12.75">
      <c r="C250" s="152"/>
      <c r="D250" s="152"/>
      <c r="E250" s="149"/>
      <c r="F250" s="152"/>
      <c r="G250" s="152"/>
      <c r="H250" s="152"/>
      <c r="I250" s="152"/>
      <c r="J250" s="156"/>
      <c r="K250" s="156"/>
      <c r="L250" s="156"/>
      <c r="M250" s="156"/>
      <c r="N250" s="156"/>
      <c r="O250" s="156"/>
      <c r="P250" s="156"/>
      <c r="Q250" s="152"/>
      <c r="R250" s="152"/>
      <c r="S250" s="152"/>
      <c r="T250" s="152"/>
      <c r="U250" s="152"/>
      <c r="V250" s="152"/>
      <c r="W250" s="152"/>
      <c r="X250" s="152"/>
      <c r="Y250" s="149"/>
    </row>
    <row r="251" spans="3:25" s="151" customFormat="1" ht="12.75">
      <c r="C251" s="152"/>
      <c r="D251" s="152"/>
      <c r="E251" s="149"/>
      <c r="F251" s="152"/>
      <c r="G251" s="152"/>
      <c r="H251" s="152"/>
      <c r="I251" s="152"/>
      <c r="J251" s="156"/>
      <c r="K251" s="156"/>
      <c r="L251" s="156"/>
      <c r="M251" s="156"/>
      <c r="N251" s="156"/>
      <c r="O251" s="156"/>
      <c r="P251" s="156"/>
      <c r="Q251" s="152"/>
      <c r="R251" s="152"/>
      <c r="S251" s="152"/>
      <c r="T251" s="152"/>
      <c r="U251" s="152"/>
      <c r="V251" s="152"/>
      <c r="W251" s="152"/>
      <c r="X251" s="152"/>
      <c r="Y251" s="149"/>
    </row>
    <row r="252" spans="3:25" s="151" customFormat="1" ht="12.75">
      <c r="C252" s="152"/>
      <c r="D252" s="152"/>
      <c r="E252" s="149"/>
      <c r="F252" s="152"/>
      <c r="G252" s="152"/>
      <c r="H252" s="152"/>
      <c r="I252" s="152"/>
      <c r="J252" s="156"/>
      <c r="K252" s="156"/>
      <c r="L252" s="156"/>
      <c r="M252" s="156"/>
      <c r="N252" s="156"/>
      <c r="O252" s="156"/>
      <c r="P252" s="156"/>
      <c r="Q252" s="152"/>
      <c r="R252" s="152"/>
      <c r="S252" s="152"/>
      <c r="T252" s="152"/>
      <c r="U252" s="152"/>
      <c r="V252" s="152"/>
      <c r="W252" s="152"/>
      <c r="X252" s="152"/>
      <c r="Y252" s="149"/>
    </row>
    <row r="253" spans="3:25" s="151" customFormat="1" ht="12.75">
      <c r="C253" s="152"/>
      <c r="D253" s="152"/>
      <c r="E253" s="149"/>
      <c r="F253" s="152"/>
      <c r="G253" s="152"/>
      <c r="H253" s="152"/>
      <c r="I253" s="152"/>
      <c r="J253" s="156"/>
      <c r="K253" s="156"/>
      <c r="L253" s="156"/>
      <c r="M253" s="156"/>
      <c r="N253" s="156"/>
      <c r="O253" s="156"/>
      <c r="P253" s="156"/>
      <c r="Q253" s="152"/>
      <c r="R253" s="152"/>
      <c r="S253" s="152"/>
      <c r="T253" s="152"/>
      <c r="U253" s="152"/>
      <c r="V253" s="152"/>
      <c r="W253" s="152"/>
      <c r="X253" s="152"/>
      <c r="Y253" s="149"/>
    </row>
    <row r="254" spans="3:25" s="151" customFormat="1" ht="12.75">
      <c r="C254" s="152"/>
      <c r="D254" s="152"/>
      <c r="E254" s="149"/>
      <c r="F254" s="152"/>
      <c r="G254" s="152"/>
      <c r="H254" s="152"/>
      <c r="I254" s="152"/>
      <c r="J254" s="156"/>
      <c r="K254" s="156"/>
      <c r="L254" s="156"/>
      <c r="M254" s="156"/>
      <c r="N254" s="156"/>
      <c r="O254" s="156"/>
      <c r="P254" s="156"/>
      <c r="Q254" s="152"/>
      <c r="R254" s="152"/>
      <c r="S254" s="152"/>
      <c r="T254" s="152"/>
      <c r="U254" s="152"/>
      <c r="V254" s="152"/>
      <c r="W254" s="152"/>
      <c r="X254" s="152"/>
      <c r="Y254" s="149"/>
    </row>
    <row r="255" spans="3:25" s="151" customFormat="1" ht="12.75">
      <c r="C255" s="152"/>
      <c r="D255" s="152"/>
      <c r="E255" s="149"/>
      <c r="F255" s="152"/>
      <c r="G255" s="152"/>
      <c r="H255" s="152"/>
      <c r="I255" s="152"/>
      <c r="J255" s="156"/>
      <c r="K255" s="156"/>
      <c r="L255" s="156"/>
      <c r="M255" s="156"/>
      <c r="N255" s="156"/>
      <c r="O255" s="156"/>
      <c r="P255" s="156"/>
      <c r="Q255" s="152"/>
      <c r="R255" s="152"/>
      <c r="S255" s="152"/>
      <c r="T255" s="152"/>
      <c r="U255" s="152"/>
      <c r="V255" s="152"/>
      <c r="W255" s="152"/>
      <c r="X255" s="152"/>
      <c r="Y255" s="149"/>
    </row>
    <row r="256" spans="3:25" s="151" customFormat="1" ht="12.75">
      <c r="C256" s="152"/>
      <c r="D256" s="152"/>
      <c r="E256" s="149"/>
      <c r="F256" s="152"/>
      <c r="G256" s="152"/>
      <c r="H256" s="152"/>
      <c r="I256" s="152"/>
      <c r="J256" s="156"/>
      <c r="K256" s="156"/>
      <c r="L256" s="156"/>
      <c r="M256" s="156"/>
      <c r="N256" s="156"/>
      <c r="O256" s="156"/>
      <c r="P256" s="156"/>
      <c r="Q256" s="152"/>
      <c r="R256" s="152"/>
      <c r="S256" s="152"/>
      <c r="T256" s="152"/>
      <c r="U256" s="152"/>
      <c r="V256" s="152"/>
      <c r="W256" s="152"/>
      <c r="X256" s="152"/>
      <c r="Y256" s="149"/>
    </row>
    <row r="257" spans="3:25" s="151" customFormat="1" ht="12.75">
      <c r="C257" s="152"/>
      <c r="D257" s="152"/>
      <c r="E257" s="149"/>
      <c r="F257" s="152"/>
      <c r="G257" s="152"/>
      <c r="H257" s="152"/>
      <c r="I257" s="152"/>
      <c r="J257" s="156"/>
      <c r="K257" s="156"/>
      <c r="L257" s="156"/>
      <c r="M257" s="156"/>
      <c r="N257" s="156"/>
      <c r="O257" s="156"/>
      <c r="P257" s="156"/>
      <c r="Q257" s="152"/>
      <c r="R257" s="152"/>
      <c r="S257" s="152"/>
      <c r="T257" s="152"/>
      <c r="U257" s="152"/>
      <c r="V257" s="152"/>
      <c r="W257" s="152"/>
      <c r="X257" s="152"/>
      <c r="Y257" s="149"/>
    </row>
    <row r="258" spans="3:25" s="151" customFormat="1" ht="12.75">
      <c r="C258" s="152"/>
      <c r="D258" s="152"/>
      <c r="E258" s="149"/>
      <c r="F258" s="152"/>
      <c r="G258" s="152"/>
      <c r="H258" s="152"/>
      <c r="I258" s="152"/>
      <c r="J258" s="156"/>
      <c r="K258" s="156"/>
      <c r="L258" s="156"/>
      <c r="M258" s="156"/>
      <c r="N258" s="156"/>
      <c r="O258" s="156"/>
      <c r="P258" s="156"/>
      <c r="Q258" s="152"/>
      <c r="R258" s="152"/>
      <c r="S258" s="152"/>
      <c r="T258" s="152"/>
      <c r="U258" s="152"/>
      <c r="V258" s="152"/>
      <c r="W258" s="152"/>
      <c r="X258" s="152"/>
      <c r="Y258" s="149"/>
    </row>
    <row r="259" spans="3:25" s="151" customFormat="1" ht="12.75">
      <c r="C259" s="152"/>
      <c r="D259" s="152"/>
      <c r="E259" s="149"/>
      <c r="F259" s="152"/>
      <c r="G259" s="152"/>
      <c r="H259" s="152"/>
      <c r="I259" s="152"/>
      <c r="J259" s="156"/>
      <c r="K259" s="156"/>
      <c r="L259" s="156"/>
      <c r="M259" s="156"/>
      <c r="N259" s="156"/>
      <c r="O259" s="156"/>
      <c r="P259" s="156"/>
      <c r="Q259" s="152"/>
      <c r="R259" s="152"/>
      <c r="S259" s="152"/>
      <c r="T259" s="152"/>
      <c r="U259" s="152"/>
      <c r="V259" s="152"/>
      <c r="W259" s="152"/>
      <c r="X259" s="152"/>
      <c r="Y259" s="149"/>
    </row>
    <row r="260" spans="3:25" s="151" customFormat="1" ht="12.75">
      <c r="C260" s="152"/>
      <c r="D260" s="152"/>
      <c r="E260" s="149"/>
      <c r="F260" s="152"/>
      <c r="G260" s="152"/>
      <c r="H260" s="152"/>
      <c r="I260" s="152"/>
      <c r="J260" s="156"/>
      <c r="K260" s="156"/>
      <c r="L260" s="156"/>
      <c r="M260" s="156"/>
      <c r="N260" s="156"/>
      <c r="O260" s="156"/>
      <c r="P260" s="156"/>
      <c r="Q260" s="152"/>
      <c r="R260" s="152"/>
      <c r="S260" s="152"/>
      <c r="T260" s="152"/>
      <c r="U260" s="152"/>
      <c r="V260" s="152"/>
      <c r="W260" s="152"/>
      <c r="X260" s="152"/>
      <c r="Y260" s="149"/>
    </row>
    <row r="261" spans="3:25" s="151" customFormat="1" ht="12.75">
      <c r="C261" s="152"/>
      <c r="D261" s="152"/>
      <c r="E261" s="149"/>
      <c r="F261" s="152"/>
      <c r="G261" s="152"/>
      <c r="H261" s="152"/>
      <c r="I261" s="152"/>
      <c r="J261" s="156"/>
      <c r="K261" s="156"/>
      <c r="L261" s="156"/>
      <c r="M261" s="156"/>
      <c r="N261" s="156"/>
      <c r="O261" s="156"/>
      <c r="P261" s="156"/>
      <c r="Q261" s="152"/>
      <c r="R261" s="152"/>
      <c r="S261" s="152"/>
      <c r="T261" s="152"/>
      <c r="U261" s="152"/>
      <c r="V261" s="152"/>
      <c r="W261" s="152"/>
      <c r="X261" s="152"/>
      <c r="Y261" s="149"/>
    </row>
    <row r="262" spans="3:25" s="151" customFormat="1" ht="12.75">
      <c r="C262" s="152"/>
      <c r="D262" s="152"/>
      <c r="E262" s="149"/>
      <c r="F262" s="152"/>
      <c r="G262" s="152"/>
      <c r="H262" s="152"/>
      <c r="I262" s="152"/>
      <c r="J262" s="156"/>
      <c r="K262" s="156"/>
      <c r="L262" s="156"/>
      <c r="M262" s="156"/>
      <c r="N262" s="156"/>
      <c r="O262" s="156"/>
      <c r="P262" s="156"/>
      <c r="Q262" s="152"/>
      <c r="R262" s="152"/>
      <c r="S262" s="152"/>
      <c r="T262" s="152"/>
      <c r="U262" s="152"/>
      <c r="V262" s="152"/>
      <c r="W262" s="152"/>
      <c r="X262" s="152"/>
      <c r="Y262" s="149"/>
    </row>
    <row r="263" spans="3:25" s="151" customFormat="1" ht="12.75">
      <c r="C263" s="152"/>
      <c r="D263" s="152"/>
      <c r="E263" s="149"/>
      <c r="F263" s="152"/>
      <c r="G263" s="152"/>
      <c r="H263" s="152"/>
      <c r="I263" s="152"/>
      <c r="J263" s="156"/>
      <c r="K263" s="156"/>
      <c r="L263" s="156"/>
      <c r="M263" s="156"/>
      <c r="N263" s="156"/>
      <c r="O263" s="156"/>
      <c r="P263" s="156"/>
      <c r="Q263" s="152"/>
      <c r="R263" s="152"/>
      <c r="S263" s="152"/>
      <c r="T263" s="152"/>
      <c r="U263" s="152"/>
      <c r="V263" s="152"/>
      <c r="W263" s="152"/>
      <c r="X263" s="152"/>
      <c r="Y263" s="149"/>
    </row>
    <row r="264" spans="3:25" s="151" customFormat="1" ht="12.75">
      <c r="C264" s="152"/>
      <c r="D264" s="152"/>
      <c r="E264" s="149"/>
      <c r="F264" s="152"/>
      <c r="G264" s="152"/>
      <c r="H264" s="152"/>
      <c r="I264" s="152"/>
      <c r="J264" s="156"/>
      <c r="K264" s="156"/>
      <c r="L264" s="156"/>
      <c r="M264" s="156"/>
      <c r="N264" s="156"/>
      <c r="O264" s="156"/>
      <c r="P264" s="156"/>
      <c r="Q264" s="152"/>
      <c r="R264" s="152"/>
      <c r="S264" s="152"/>
      <c r="T264" s="152"/>
      <c r="U264" s="152"/>
      <c r="V264" s="152"/>
      <c r="W264" s="152"/>
      <c r="X264" s="152"/>
      <c r="Y264" s="149"/>
    </row>
    <row r="265" spans="3:25" s="151" customFormat="1" ht="12.75">
      <c r="C265" s="152"/>
      <c r="D265" s="152"/>
      <c r="E265" s="149"/>
      <c r="F265" s="152"/>
      <c r="G265" s="152"/>
      <c r="H265" s="152"/>
      <c r="I265" s="152"/>
      <c r="J265" s="156"/>
      <c r="K265" s="156"/>
      <c r="L265" s="156"/>
      <c r="M265" s="156"/>
      <c r="N265" s="156"/>
      <c r="O265" s="156"/>
      <c r="P265" s="156"/>
      <c r="Q265" s="152"/>
      <c r="R265" s="152"/>
      <c r="S265" s="152"/>
      <c r="T265" s="152"/>
      <c r="U265" s="152"/>
      <c r="V265" s="152"/>
      <c r="W265" s="152"/>
      <c r="X265" s="152"/>
      <c r="Y265" s="149"/>
    </row>
    <row r="266" spans="3:25" s="151" customFormat="1" ht="12.75">
      <c r="C266" s="152"/>
      <c r="D266" s="152"/>
      <c r="E266" s="149"/>
      <c r="F266" s="152"/>
      <c r="G266" s="152"/>
      <c r="H266" s="152"/>
      <c r="I266" s="152"/>
      <c r="J266" s="156"/>
      <c r="K266" s="156"/>
      <c r="L266" s="156"/>
      <c r="M266" s="156"/>
      <c r="N266" s="156"/>
      <c r="O266" s="156"/>
      <c r="P266" s="156"/>
      <c r="Q266" s="152"/>
      <c r="R266" s="152"/>
      <c r="S266" s="152"/>
      <c r="T266" s="152"/>
      <c r="U266" s="152"/>
      <c r="V266" s="152"/>
      <c r="W266" s="152"/>
      <c r="X266" s="152"/>
      <c r="Y266" s="149"/>
    </row>
    <row r="267" spans="3:25" s="151" customFormat="1" ht="12.75">
      <c r="C267" s="152"/>
      <c r="D267" s="152"/>
      <c r="E267" s="149"/>
      <c r="F267" s="152"/>
      <c r="G267" s="152"/>
      <c r="H267" s="152"/>
      <c r="I267" s="152"/>
      <c r="J267" s="156"/>
      <c r="K267" s="156"/>
      <c r="L267" s="156"/>
      <c r="M267" s="156"/>
      <c r="N267" s="156"/>
      <c r="O267" s="156"/>
      <c r="P267" s="156"/>
      <c r="Q267" s="152"/>
      <c r="R267" s="152"/>
      <c r="S267" s="152"/>
      <c r="T267" s="152"/>
      <c r="U267" s="152"/>
      <c r="V267" s="152"/>
      <c r="W267" s="152"/>
      <c r="X267" s="152"/>
      <c r="Y267" s="149"/>
    </row>
    <row r="268" spans="3:25" s="151" customFormat="1" ht="12.75">
      <c r="C268" s="152"/>
      <c r="D268" s="152"/>
      <c r="E268" s="149"/>
      <c r="F268" s="152"/>
      <c r="G268" s="152"/>
      <c r="H268" s="152"/>
      <c r="I268" s="152"/>
      <c r="J268" s="156"/>
      <c r="K268" s="156"/>
      <c r="L268" s="156"/>
      <c r="M268" s="156"/>
      <c r="N268" s="156"/>
      <c r="O268" s="156"/>
      <c r="P268" s="156"/>
      <c r="Q268" s="152"/>
      <c r="R268" s="152"/>
      <c r="S268" s="152"/>
      <c r="T268" s="152"/>
      <c r="U268" s="152"/>
      <c r="V268" s="152"/>
      <c r="W268" s="152"/>
      <c r="X268" s="152"/>
      <c r="Y268" s="149"/>
    </row>
    <row r="269" spans="3:25" s="151" customFormat="1" ht="12.75">
      <c r="C269" s="152"/>
      <c r="D269" s="152"/>
      <c r="E269" s="149"/>
      <c r="F269" s="152"/>
      <c r="G269" s="152"/>
      <c r="H269" s="152"/>
      <c r="I269" s="152"/>
      <c r="J269" s="156"/>
      <c r="K269" s="156"/>
      <c r="L269" s="156"/>
      <c r="M269" s="156"/>
      <c r="N269" s="156"/>
      <c r="O269" s="156"/>
      <c r="P269" s="156"/>
      <c r="Q269" s="152"/>
      <c r="R269" s="152"/>
      <c r="S269" s="152"/>
      <c r="T269" s="152"/>
      <c r="U269" s="152"/>
      <c r="V269" s="152"/>
      <c r="W269" s="152"/>
      <c r="X269" s="152"/>
      <c r="Y269" s="149"/>
    </row>
    <row r="270" spans="3:25" s="151" customFormat="1" ht="12.75">
      <c r="C270" s="152"/>
      <c r="D270" s="152"/>
      <c r="E270" s="149"/>
      <c r="F270" s="152"/>
      <c r="G270" s="152"/>
      <c r="H270" s="152"/>
      <c r="I270" s="152"/>
      <c r="J270" s="156"/>
      <c r="K270" s="156"/>
      <c r="L270" s="156"/>
      <c r="M270" s="156"/>
      <c r="N270" s="156"/>
      <c r="O270" s="156"/>
      <c r="P270" s="156"/>
      <c r="Q270" s="152"/>
      <c r="R270" s="152"/>
      <c r="S270" s="152"/>
      <c r="T270" s="152"/>
      <c r="U270" s="152"/>
      <c r="V270" s="152"/>
      <c r="W270" s="152"/>
      <c r="X270" s="152"/>
      <c r="Y270" s="149"/>
    </row>
    <row r="271" spans="3:25" s="151" customFormat="1" ht="12.75">
      <c r="C271" s="152"/>
      <c r="D271" s="152"/>
      <c r="E271" s="149"/>
      <c r="F271" s="152"/>
      <c r="G271" s="152"/>
      <c r="H271" s="152"/>
      <c r="I271" s="152"/>
      <c r="J271" s="156"/>
      <c r="K271" s="156"/>
      <c r="L271" s="156"/>
      <c r="M271" s="156"/>
      <c r="N271" s="156"/>
      <c r="O271" s="156"/>
      <c r="P271" s="156"/>
      <c r="Q271" s="152"/>
      <c r="R271" s="152"/>
      <c r="S271" s="152"/>
      <c r="T271" s="152"/>
      <c r="U271" s="152"/>
      <c r="V271" s="152"/>
      <c r="W271" s="152"/>
      <c r="X271" s="152"/>
      <c r="Y271" s="149"/>
    </row>
    <row r="272" spans="3:25" s="151" customFormat="1" ht="12.75">
      <c r="C272" s="152"/>
      <c r="D272" s="152"/>
      <c r="E272" s="149"/>
      <c r="F272" s="152"/>
      <c r="G272" s="152"/>
      <c r="H272" s="152"/>
      <c r="I272" s="152"/>
      <c r="J272" s="156"/>
      <c r="K272" s="156"/>
      <c r="L272" s="156"/>
      <c r="M272" s="156"/>
      <c r="N272" s="156"/>
      <c r="O272" s="156"/>
      <c r="P272" s="156"/>
      <c r="Q272" s="152"/>
      <c r="R272" s="152"/>
      <c r="S272" s="152"/>
      <c r="T272" s="152"/>
      <c r="U272" s="152"/>
      <c r="V272" s="152"/>
      <c r="W272" s="152"/>
      <c r="X272" s="152"/>
      <c r="Y272" s="149"/>
    </row>
    <row r="273" spans="3:25" s="151" customFormat="1" ht="12.75">
      <c r="C273" s="152"/>
      <c r="D273" s="152"/>
      <c r="E273" s="149"/>
      <c r="F273" s="152"/>
      <c r="G273" s="152"/>
      <c r="H273" s="152"/>
      <c r="I273" s="152"/>
      <c r="J273" s="156"/>
      <c r="K273" s="156"/>
      <c r="L273" s="156"/>
      <c r="M273" s="156"/>
      <c r="N273" s="156"/>
      <c r="O273" s="156"/>
      <c r="P273" s="156"/>
      <c r="Q273" s="152"/>
      <c r="R273" s="152"/>
      <c r="S273" s="152"/>
      <c r="T273" s="152"/>
      <c r="U273" s="152"/>
      <c r="V273" s="152"/>
      <c r="W273" s="152"/>
      <c r="X273" s="152"/>
      <c r="Y273" s="149"/>
    </row>
    <row r="274" spans="3:25" s="151" customFormat="1" ht="12.75">
      <c r="C274" s="152"/>
      <c r="D274" s="152"/>
      <c r="E274" s="149"/>
      <c r="F274" s="152"/>
      <c r="G274" s="152"/>
      <c r="H274" s="152"/>
      <c r="I274" s="152"/>
      <c r="J274" s="156"/>
      <c r="K274" s="156"/>
      <c r="L274" s="156"/>
      <c r="M274" s="156"/>
      <c r="N274" s="156"/>
      <c r="O274" s="156"/>
      <c r="P274" s="156"/>
      <c r="Q274" s="152"/>
      <c r="R274" s="152"/>
      <c r="S274" s="152"/>
      <c r="T274" s="152"/>
      <c r="U274" s="152"/>
      <c r="V274" s="152"/>
      <c r="W274" s="152"/>
      <c r="X274" s="152"/>
      <c r="Y274" s="149"/>
    </row>
    <row r="275" spans="3:25" s="151" customFormat="1" ht="12.75">
      <c r="C275" s="152"/>
      <c r="D275" s="152"/>
      <c r="E275" s="149"/>
      <c r="F275" s="152"/>
      <c r="G275" s="152"/>
      <c r="H275" s="152"/>
      <c r="I275" s="152"/>
      <c r="J275" s="156"/>
      <c r="K275" s="156"/>
      <c r="L275" s="156"/>
      <c r="M275" s="156"/>
      <c r="N275" s="156"/>
      <c r="O275" s="156"/>
      <c r="P275" s="156"/>
      <c r="Q275" s="152"/>
      <c r="R275" s="152"/>
      <c r="S275" s="152"/>
      <c r="T275" s="152"/>
      <c r="U275" s="152"/>
      <c r="V275" s="152"/>
      <c r="W275" s="152"/>
      <c r="X275" s="152"/>
      <c r="Y275" s="149"/>
    </row>
    <row r="276" spans="3:25" s="151" customFormat="1" ht="12.75">
      <c r="C276" s="152"/>
      <c r="D276" s="152"/>
      <c r="E276" s="149"/>
      <c r="F276" s="152"/>
      <c r="G276" s="152"/>
      <c r="H276" s="152"/>
      <c r="I276" s="152"/>
      <c r="J276" s="156"/>
      <c r="K276" s="156"/>
      <c r="L276" s="156"/>
      <c r="M276" s="156"/>
      <c r="N276" s="156"/>
      <c r="O276" s="156"/>
      <c r="P276" s="156"/>
      <c r="Q276" s="152"/>
      <c r="R276" s="152"/>
      <c r="S276" s="152"/>
      <c r="T276" s="152"/>
      <c r="U276" s="152"/>
      <c r="V276" s="152"/>
      <c r="W276" s="152"/>
      <c r="X276" s="152"/>
      <c r="Y276" s="149"/>
    </row>
    <row r="277" spans="3:25" s="151" customFormat="1" ht="12.75">
      <c r="C277" s="152"/>
      <c r="D277" s="152"/>
      <c r="E277" s="149"/>
      <c r="F277" s="152"/>
      <c r="G277" s="152"/>
      <c r="H277" s="152"/>
      <c r="I277" s="152"/>
      <c r="J277" s="156"/>
      <c r="K277" s="156"/>
      <c r="L277" s="156"/>
      <c r="M277" s="156"/>
      <c r="N277" s="156"/>
      <c r="O277" s="156"/>
      <c r="P277" s="156"/>
      <c r="Q277" s="152"/>
      <c r="R277" s="152"/>
      <c r="S277" s="152"/>
      <c r="T277" s="152"/>
      <c r="U277" s="152"/>
      <c r="V277" s="152"/>
      <c r="W277" s="152"/>
      <c r="X277" s="152"/>
      <c r="Y277" s="149"/>
    </row>
    <row r="278" spans="3:25" s="151" customFormat="1" ht="12.75">
      <c r="C278" s="152"/>
      <c r="D278" s="152"/>
      <c r="E278" s="149"/>
      <c r="F278" s="152"/>
      <c r="G278" s="152"/>
      <c r="H278" s="152"/>
      <c r="I278" s="152"/>
      <c r="J278" s="156"/>
      <c r="K278" s="156"/>
      <c r="L278" s="156"/>
      <c r="M278" s="156"/>
      <c r="N278" s="156"/>
      <c r="O278" s="156"/>
      <c r="P278" s="156"/>
      <c r="Q278" s="152"/>
      <c r="R278" s="152"/>
      <c r="S278" s="152"/>
      <c r="T278" s="152"/>
      <c r="U278" s="152"/>
      <c r="V278" s="152"/>
      <c r="W278" s="152"/>
      <c r="X278" s="152"/>
      <c r="Y278" s="149"/>
    </row>
    <row r="279" spans="3:25" s="151" customFormat="1" ht="12.75">
      <c r="C279" s="152"/>
      <c r="D279" s="152"/>
      <c r="E279" s="149"/>
      <c r="F279" s="152"/>
      <c r="G279" s="152"/>
      <c r="H279" s="152"/>
      <c r="I279" s="152"/>
      <c r="J279" s="156"/>
      <c r="K279" s="156"/>
      <c r="L279" s="156"/>
      <c r="M279" s="156"/>
      <c r="N279" s="156"/>
      <c r="O279" s="156"/>
      <c r="P279" s="156"/>
      <c r="Q279" s="152"/>
      <c r="R279" s="152"/>
      <c r="S279" s="152"/>
      <c r="T279" s="152"/>
      <c r="U279" s="152"/>
      <c r="V279" s="152"/>
      <c r="W279" s="152"/>
      <c r="X279" s="152"/>
      <c r="Y279" s="149"/>
    </row>
    <row r="280" spans="3:25" s="151" customFormat="1" ht="12.75">
      <c r="C280" s="152"/>
      <c r="D280" s="152"/>
      <c r="E280" s="149"/>
      <c r="F280" s="152"/>
      <c r="G280" s="152"/>
      <c r="H280" s="152"/>
      <c r="I280" s="152"/>
      <c r="J280" s="156"/>
      <c r="K280" s="156"/>
      <c r="L280" s="156"/>
      <c r="M280" s="156"/>
      <c r="N280" s="156"/>
      <c r="O280" s="156"/>
      <c r="P280" s="156"/>
      <c r="Q280" s="152"/>
      <c r="R280" s="152"/>
      <c r="S280" s="152"/>
      <c r="T280" s="152"/>
      <c r="U280" s="152"/>
      <c r="V280" s="152"/>
      <c r="W280" s="152"/>
      <c r="X280" s="152"/>
      <c r="Y280" s="149"/>
    </row>
    <row r="281" spans="3:25" s="151" customFormat="1" ht="12.75">
      <c r="C281" s="152"/>
      <c r="D281" s="152"/>
      <c r="E281" s="149"/>
      <c r="F281" s="152"/>
      <c r="G281" s="152"/>
      <c r="H281" s="152"/>
      <c r="I281" s="152"/>
      <c r="J281" s="156"/>
      <c r="K281" s="156"/>
      <c r="L281" s="156"/>
      <c r="M281" s="156"/>
      <c r="N281" s="156"/>
      <c r="O281" s="156"/>
      <c r="P281" s="156"/>
      <c r="Q281" s="152"/>
      <c r="R281" s="152"/>
      <c r="S281" s="152"/>
      <c r="T281" s="152"/>
      <c r="U281" s="152"/>
      <c r="V281" s="152"/>
      <c r="W281" s="152"/>
      <c r="X281" s="152"/>
      <c r="Y281" s="149"/>
    </row>
    <row r="282" spans="3:25" s="151" customFormat="1" ht="12.75">
      <c r="C282" s="152"/>
      <c r="D282" s="152"/>
      <c r="E282" s="149"/>
      <c r="F282" s="152"/>
      <c r="G282" s="152"/>
      <c r="H282" s="152"/>
      <c r="I282" s="152"/>
      <c r="J282" s="156"/>
      <c r="K282" s="156"/>
      <c r="L282" s="156"/>
      <c r="M282" s="156"/>
      <c r="N282" s="156"/>
      <c r="O282" s="156"/>
      <c r="P282" s="156"/>
      <c r="Q282" s="152"/>
      <c r="R282" s="152"/>
      <c r="S282" s="152"/>
      <c r="T282" s="152"/>
      <c r="U282" s="152"/>
      <c r="V282" s="152"/>
      <c r="W282" s="152"/>
      <c r="X282" s="152"/>
      <c r="Y282" s="149"/>
    </row>
    <row r="283" spans="3:25" s="151" customFormat="1" ht="12.75">
      <c r="C283" s="152"/>
      <c r="D283" s="152"/>
      <c r="E283" s="149"/>
      <c r="F283" s="152"/>
      <c r="G283" s="152"/>
      <c r="H283" s="152"/>
      <c r="I283" s="152"/>
      <c r="J283" s="156"/>
      <c r="K283" s="156"/>
      <c r="L283" s="156"/>
      <c r="M283" s="156"/>
      <c r="N283" s="156"/>
      <c r="O283" s="156"/>
      <c r="P283" s="156"/>
      <c r="Q283" s="152"/>
      <c r="R283" s="152"/>
      <c r="S283" s="152"/>
      <c r="T283" s="152"/>
      <c r="U283" s="152"/>
      <c r="V283" s="152"/>
      <c r="W283" s="152"/>
      <c r="X283" s="152"/>
      <c r="Y283" s="149"/>
    </row>
    <row r="284" spans="3:25" s="151" customFormat="1" ht="12.75">
      <c r="C284" s="152"/>
      <c r="D284" s="152"/>
      <c r="E284" s="149"/>
      <c r="F284" s="152"/>
      <c r="G284" s="152"/>
      <c r="H284" s="152"/>
      <c r="I284" s="152"/>
      <c r="J284" s="156"/>
      <c r="K284" s="156"/>
      <c r="L284" s="156"/>
      <c r="M284" s="156"/>
      <c r="N284" s="156"/>
      <c r="O284" s="156"/>
      <c r="P284" s="156"/>
      <c r="Q284" s="152"/>
      <c r="R284" s="152"/>
      <c r="S284" s="152"/>
      <c r="T284" s="152"/>
      <c r="U284" s="152"/>
      <c r="V284" s="152"/>
      <c r="W284" s="152"/>
      <c r="X284" s="152"/>
      <c r="Y284" s="149"/>
    </row>
    <row r="285" spans="3:25" s="151" customFormat="1" ht="12.75">
      <c r="C285" s="152"/>
      <c r="D285" s="152"/>
      <c r="E285" s="149"/>
      <c r="F285" s="152"/>
      <c r="G285" s="152"/>
      <c r="H285" s="152"/>
      <c r="I285" s="152"/>
      <c r="J285" s="156"/>
      <c r="K285" s="156"/>
      <c r="L285" s="156"/>
      <c r="M285" s="156"/>
      <c r="N285" s="156"/>
      <c r="O285" s="156"/>
      <c r="P285" s="156"/>
      <c r="Q285" s="152"/>
      <c r="R285" s="152"/>
      <c r="S285" s="152"/>
      <c r="T285" s="152"/>
      <c r="U285" s="152"/>
      <c r="V285" s="152"/>
      <c r="W285" s="152"/>
      <c r="X285" s="152"/>
      <c r="Y285" s="149"/>
    </row>
    <row r="286" spans="3:25" s="151" customFormat="1" ht="12.75">
      <c r="C286" s="152"/>
      <c r="D286" s="152"/>
      <c r="E286" s="149"/>
      <c r="F286" s="152"/>
      <c r="G286" s="152"/>
      <c r="H286" s="152"/>
      <c r="I286" s="152"/>
      <c r="J286" s="156"/>
      <c r="K286" s="156"/>
      <c r="L286" s="156"/>
      <c r="M286" s="156"/>
      <c r="N286" s="156"/>
      <c r="O286" s="156"/>
      <c r="P286" s="156"/>
      <c r="Q286" s="152"/>
      <c r="R286" s="152"/>
      <c r="S286" s="152"/>
      <c r="T286" s="152"/>
      <c r="U286" s="152"/>
      <c r="V286" s="152"/>
      <c r="W286" s="152"/>
      <c r="X286" s="152"/>
      <c r="Y286" s="149"/>
    </row>
    <row r="287" spans="3:25" s="151" customFormat="1" ht="12.75">
      <c r="C287" s="152"/>
      <c r="D287" s="152"/>
      <c r="E287" s="149"/>
      <c r="F287" s="152"/>
      <c r="G287" s="152"/>
      <c r="H287" s="152"/>
      <c r="I287" s="152"/>
      <c r="J287" s="156"/>
      <c r="K287" s="156"/>
      <c r="L287" s="156"/>
      <c r="M287" s="156"/>
      <c r="N287" s="156"/>
      <c r="O287" s="156"/>
      <c r="P287" s="156"/>
      <c r="Q287" s="152"/>
      <c r="R287" s="152"/>
      <c r="S287" s="152"/>
      <c r="T287" s="152"/>
      <c r="U287" s="152"/>
      <c r="V287" s="152"/>
      <c r="W287" s="152"/>
      <c r="X287" s="152"/>
      <c r="Y287" s="149"/>
    </row>
    <row r="288" spans="3:25" s="151" customFormat="1" ht="12.75">
      <c r="C288" s="152"/>
      <c r="D288" s="152"/>
      <c r="E288" s="149"/>
      <c r="F288" s="152"/>
      <c r="G288" s="152"/>
      <c r="H288" s="152"/>
      <c r="I288" s="152"/>
      <c r="J288" s="156"/>
      <c r="K288" s="156"/>
      <c r="L288" s="156"/>
      <c r="M288" s="156"/>
      <c r="N288" s="156"/>
      <c r="O288" s="156"/>
      <c r="P288" s="156"/>
      <c r="Q288" s="152"/>
      <c r="R288" s="152"/>
      <c r="S288" s="152"/>
      <c r="T288" s="152"/>
      <c r="U288" s="152"/>
      <c r="V288" s="152"/>
      <c r="W288" s="152"/>
      <c r="X288" s="152"/>
      <c r="Y288" s="149"/>
    </row>
    <row r="289" spans="3:25" s="151" customFormat="1" ht="12.75">
      <c r="C289" s="152"/>
      <c r="D289" s="152"/>
      <c r="E289" s="149"/>
      <c r="F289" s="152"/>
      <c r="G289" s="152"/>
      <c r="H289" s="152"/>
      <c r="I289" s="152"/>
      <c r="J289" s="156"/>
      <c r="K289" s="156"/>
      <c r="L289" s="156"/>
      <c r="M289" s="156"/>
      <c r="N289" s="156"/>
      <c r="O289" s="156"/>
      <c r="P289" s="156"/>
      <c r="Q289" s="152"/>
      <c r="R289" s="152"/>
      <c r="S289" s="152"/>
      <c r="T289" s="152"/>
      <c r="U289" s="152"/>
      <c r="V289" s="152"/>
      <c r="W289" s="152"/>
      <c r="X289" s="152"/>
      <c r="Y289" s="149"/>
    </row>
    <row r="290" spans="3:25" s="151" customFormat="1" ht="12.75">
      <c r="C290" s="152"/>
      <c r="D290" s="152"/>
      <c r="E290" s="149"/>
      <c r="F290" s="152"/>
      <c r="G290" s="152"/>
      <c r="H290" s="152"/>
      <c r="I290" s="152"/>
      <c r="J290" s="156"/>
      <c r="K290" s="156"/>
      <c r="L290" s="156"/>
      <c r="M290" s="156"/>
      <c r="N290" s="156"/>
      <c r="O290" s="156"/>
      <c r="P290" s="156"/>
      <c r="Q290" s="152"/>
      <c r="R290" s="152"/>
      <c r="S290" s="152"/>
      <c r="T290" s="152"/>
      <c r="U290" s="152"/>
      <c r="V290" s="152"/>
      <c r="W290" s="152"/>
      <c r="X290" s="152"/>
      <c r="Y290" s="149"/>
    </row>
    <row r="291" spans="3:25" s="151" customFormat="1" ht="12.75">
      <c r="C291" s="152"/>
      <c r="D291" s="152"/>
      <c r="E291" s="149"/>
      <c r="F291" s="152"/>
      <c r="G291" s="152"/>
      <c r="H291" s="152"/>
      <c r="I291" s="152"/>
      <c r="J291" s="156"/>
      <c r="K291" s="156"/>
      <c r="L291" s="156"/>
      <c r="M291" s="156"/>
      <c r="N291" s="156"/>
      <c r="O291" s="156"/>
      <c r="P291" s="156"/>
      <c r="Q291" s="152"/>
      <c r="R291" s="152"/>
      <c r="S291" s="152"/>
      <c r="T291" s="152"/>
      <c r="U291" s="152"/>
      <c r="V291" s="152"/>
      <c r="W291" s="152"/>
      <c r="X291" s="152"/>
      <c r="Y291" s="149"/>
    </row>
    <row r="292" spans="3:25" s="151" customFormat="1" ht="12.75">
      <c r="C292" s="152"/>
      <c r="D292" s="152"/>
      <c r="E292" s="149"/>
      <c r="F292" s="152"/>
      <c r="G292" s="152"/>
      <c r="H292" s="152"/>
      <c r="I292" s="152"/>
      <c r="J292" s="156"/>
      <c r="K292" s="156"/>
      <c r="L292" s="156"/>
      <c r="M292" s="156"/>
      <c r="N292" s="156"/>
      <c r="O292" s="156"/>
      <c r="P292" s="156"/>
      <c r="Q292" s="152"/>
      <c r="R292" s="152"/>
      <c r="S292" s="152"/>
      <c r="T292" s="152"/>
      <c r="U292" s="152"/>
      <c r="V292" s="152"/>
      <c r="W292" s="152"/>
      <c r="X292" s="152"/>
      <c r="Y292" s="149"/>
    </row>
    <row r="293" spans="3:25" s="151" customFormat="1" ht="12.75">
      <c r="C293" s="152"/>
      <c r="D293" s="152"/>
      <c r="E293" s="149"/>
      <c r="F293" s="152"/>
      <c r="G293" s="152"/>
      <c r="H293" s="152"/>
      <c r="I293" s="152"/>
      <c r="J293" s="156"/>
      <c r="K293" s="156"/>
      <c r="L293" s="156"/>
      <c r="M293" s="156"/>
      <c r="N293" s="156"/>
      <c r="O293" s="156"/>
      <c r="P293" s="156"/>
      <c r="Q293" s="152"/>
      <c r="R293" s="152"/>
      <c r="S293" s="152"/>
      <c r="T293" s="152"/>
      <c r="U293" s="152"/>
      <c r="V293" s="152"/>
      <c r="W293" s="152"/>
      <c r="X293" s="152"/>
      <c r="Y293" s="149"/>
    </row>
    <row r="294" spans="3:25" s="151" customFormat="1" ht="12.75">
      <c r="C294" s="152"/>
      <c r="D294" s="152"/>
      <c r="E294" s="149"/>
      <c r="F294" s="152"/>
      <c r="G294" s="152"/>
      <c r="H294" s="152"/>
      <c r="I294" s="152"/>
      <c r="J294" s="156"/>
      <c r="K294" s="156"/>
      <c r="L294" s="156"/>
      <c r="M294" s="156"/>
      <c r="N294" s="156"/>
      <c r="O294" s="156"/>
      <c r="P294" s="156"/>
      <c r="Q294" s="152"/>
      <c r="R294" s="152"/>
      <c r="S294" s="152"/>
      <c r="T294" s="152"/>
      <c r="U294" s="152"/>
      <c r="V294" s="152"/>
      <c r="W294" s="152"/>
      <c r="X294" s="152"/>
      <c r="Y294" s="149"/>
    </row>
    <row r="295" spans="3:25" s="151" customFormat="1" ht="12.75">
      <c r="C295" s="152"/>
      <c r="D295" s="152"/>
      <c r="E295" s="149"/>
      <c r="F295" s="152"/>
      <c r="G295" s="152"/>
      <c r="H295" s="152"/>
      <c r="I295" s="152"/>
      <c r="J295" s="156"/>
      <c r="K295" s="156"/>
      <c r="L295" s="156"/>
      <c r="M295" s="156"/>
      <c r="N295" s="156"/>
      <c r="O295" s="156"/>
      <c r="P295" s="156"/>
      <c r="Q295" s="152"/>
      <c r="R295" s="152"/>
      <c r="S295" s="152"/>
      <c r="T295" s="152"/>
      <c r="U295" s="152"/>
      <c r="V295" s="152"/>
      <c r="W295" s="152"/>
      <c r="X295" s="152"/>
      <c r="Y295" s="149"/>
    </row>
    <row r="296" spans="3:25" s="151" customFormat="1" ht="12.75">
      <c r="C296" s="152"/>
      <c r="D296" s="152"/>
      <c r="E296" s="149"/>
      <c r="F296" s="152"/>
      <c r="G296" s="152"/>
      <c r="H296" s="152"/>
      <c r="I296" s="152"/>
      <c r="J296" s="156"/>
      <c r="K296" s="156"/>
      <c r="L296" s="156"/>
      <c r="M296" s="156"/>
      <c r="N296" s="156"/>
      <c r="O296" s="156"/>
      <c r="P296" s="156"/>
      <c r="Q296" s="152"/>
      <c r="R296" s="152"/>
      <c r="S296" s="152"/>
      <c r="T296" s="152"/>
      <c r="U296" s="152"/>
      <c r="V296" s="152"/>
      <c r="W296" s="152"/>
      <c r="X296" s="152"/>
      <c r="Y296" s="149"/>
    </row>
    <row r="297" spans="3:25" s="151" customFormat="1" ht="12.75">
      <c r="C297" s="152"/>
      <c r="D297" s="152"/>
      <c r="E297" s="149"/>
      <c r="F297" s="152"/>
      <c r="G297" s="152"/>
      <c r="H297" s="152"/>
      <c r="I297" s="152"/>
      <c r="J297" s="156"/>
      <c r="K297" s="156"/>
      <c r="L297" s="156"/>
      <c r="M297" s="156"/>
      <c r="N297" s="156"/>
      <c r="O297" s="156"/>
      <c r="P297" s="156"/>
      <c r="Q297" s="152"/>
      <c r="R297" s="152"/>
      <c r="S297" s="152"/>
      <c r="T297" s="152"/>
      <c r="U297" s="152"/>
      <c r="V297" s="152"/>
      <c r="W297" s="152"/>
      <c r="X297" s="152"/>
      <c r="Y297" s="149"/>
    </row>
    <row r="298" spans="3:25" s="151" customFormat="1" ht="12.75">
      <c r="C298" s="152"/>
      <c r="D298" s="152"/>
      <c r="E298" s="149"/>
      <c r="F298" s="152"/>
      <c r="G298" s="152"/>
      <c r="H298" s="152"/>
      <c r="I298" s="152"/>
      <c r="J298" s="156"/>
      <c r="K298" s="156"/>
      <c r="L298" s="156"/>
      <c r="M298" s="156"/>
      <c r="N298" s="156"/>
      <c r="O298" s="156"/>
      <c r="P298" s="156"/>
      <c r="Q298" s="152"/>
      <c r="R298" s="152"/>
      <c r="S298" s="152"/>
      <c r="T298" s="152"/>
      <c r="U298" s="152"/>
      <c r="V298" s="152"/>
      <c r="W298" s="152"/>
      <c r="X298" s="152"/>
      <c r="Y298" s="149"/>
    </row>
    <row r="299" spans="3:25" s="151" customFormat="1" ht="12.75">
      <c r="C299" s="152"/>
      <c r="D299" s="152"/>
      <c r="E299" s="149"/>
      <c r="F299" s="152"/>
      <c r="G299" s="152"/>
      <c r="H299" s="152"/>
      <c r="I299" s="152"/>
      <c r="J299" s="156"/>
      <c r="K299" s="156"/>
      <c r="L299" s="156"/>
      <c r="M299" s="156"/>
      <c r="N299" s="156"/>
      <c r="O299" s="156"/>
      <c r="P299" s="156"/>
      <c r="Q299" s="152"/>
      <c r="R299" s="152"/>
      <c r="S299" s="152"/>
      <c r="T299" s="152"/>
      <c r="U299" s="152"/>
      <c r="V299" s="152"/>
      <c r="W299" s="152"/>
      <c r="X299" s="152"/>
      <c r="Y299" s="149"/>
    </row>
    <row r="300" spans="3:25" s="151" customFormat="1" ht="12.75">
      <c r="C300" s="152"/>
      <c r="D300" s="152"/>
      <c r="E300" s="149"/>
      <c r="F300" s="152"/>
      <c r="G300" s="152"/>
      <c r="H300" s="152"/>
      <c r="I300" s="152"/>
      <c r="J300" s="156"/>
      <c r="K300" s="156"/>
      <c r="L300" s="156"/>
      <c r="M300" s="156"/>
      <c r="N300" s="156"/>
      <c r="O300" s="156"/>
      <c r="P300" s="156"/>
      <c r="Q300" s="152"/>
      <c r="R300" s="152"/>
      <c r="S300" s="152"/>
      <c r="T300" s="152"/>
      <c r="U300" s="152"/>
      <c r="V300" s="152"/>
      <c r="W300" s="152"/>
      <c r="X300" s="152"/>
      <c r="Y300" s="149"/>
    </row>
    <row r="301" spans="3:25" s="151" customFormat="1" ht="12.75">
      <c r="C301" s="152"/>
      <c r="D301" s="152"/>
      <c r="E301" s="149"/>
      <c r="F301" s="152"/>
      <c r="G301" s="152"/>
      <c r="H301" s="152"/>
      <c r="I301" s="152"/>
      <c r="J301" s="156"/>
      <c r="K301" s="156"/>
      <c r="L301" s="156"/>
      <c r="M301" s="156"/>
      <c r="N301" s="156"/>
      <c r="O301" s="156"/>
      <c r="P301" s="156"/>
      <c r="Q301" s="152"/>
      <c r="R301" s="152"/>
      <c r="S301" s="152"/>
      <c r="T301" s="152"/>
      <c r="U301" s="152"/>
      <c r="V301" s="152"/>
      <c r="W301" s="152"/>
      <c r="X301" s="152"/>
      <c r="Y301" s="149"/>
    </row>
    <row r="302" spans="3:25" s="151" customFormat="1" ht="12.75">
      <c r="C302" s="152"/>
      <c r="D302" s="152"/>
      <c r="E302" s="149"/>
      <c r="F302" s="152"/>
      <c r="G302" s="152"/>
      <c r="H302" s="152"/>
      <c r="I302" s="152"/>
      <c r="J302" s="156"/>
      <c r="K302" s="156"/>
      <c r="L302" s="156"/>
      <c r="M302" s="156"/>
      <c r="N302" s="156"/>
      <c r="O302" s="156"/>
      <c r="P302" s="156"/>
      <c r="Q302" s="152"/>
      <c r="R302" s="152"/>
      <c r="S302" s="152"/>
      <c r="T302" s="152"/>
      <c r="U302" s="152"/>
      <c r="V302" s="152"/>
      <c r="W302" s="152"/>
      <c r="X302" s="152"/>
      <c r="Y302" s="149"/>
    </row>
    <row r="303" spans="3:25" s="151" customFormat="1" ht="12.75">
      <c r="C303" s="152"/>
      <c r="D303" s="152"/>
      <c r="E303" s="149"/>
      <c r="F303" s="152"/>
      <c r="G303" s="152"/>
      <c r="H303" s="152"/>
      <c r="I303" s="152"/>
      <c r="J303" s="156"/>
      <c r="K303" s="156"/>
      <c r="L303" s="156"/>
      <c r="M303" s="156"/>
      <c r="N303" s="156"/>
      <c r="O303" s="156"/>
      <c r="P303" s="156"/>
      <c r="Q303" s="152"/>
      <c r="R303" s="152"/>
      <c r="S303" s="152"/>
      <c r="T303" s="152"/>
      <c r="U303" s="152"/>
      <c r="V303" s="152"/>
      <c r="W303" s="152"/>
      <c r="X303" s="152"/>
      <c r="Y303" s="149"/>
    </row>
    <row r="304" spans="3:25" s="151" customFormat="1" ht="12.75">
      <c r="C304" s="152"/>
      <c r="D304" s="152"/>
      <c r="E304" s="149"/>
      <c r="F304" s="152"/>
      <c r="G304" s="152"/>
      <c r="H304" s="152"/>
      <c r="I304" s="152"/>
      <c r="J304" s="156"/>
      <c r="K304" s="156"/>
      <c r="L304" s="156"/>
      <c r="M304" s="156"/>
      <c r="N304" s="156"/>
      <c r="O304" s="156"/>
      <c r="P304" s="156"/>
      <c r="Q304" s="152"/>
      <c r="R304" s="152"/>
      <c r="S304" s="152"/>
      <c r="T304" s="152"/>
      <c r="U304" s="152"/>
      <c r="V304" s="152"/>
      <c r="W304" s="152"/>
      <c r="X304" s="152"/>
      <c r="Y304" s="149"/>
    </row>
    <row r="305" spans="3:25" s="151" customFormat="1" ht="12.75">
      <c r="C305" s="152"/>
      <c r="D305" s="152"/>
      <c r="E305" s="149"/>
      <c r="F305" s="152"/>
      <c r="G305" s="152"/>
      <c r="H305" s="152"/>
      <c r="I305" s="152"/>
      <c r="J305" s="156"/>
      <c r="K305" s="156"/>
      <c r="L305" s="156"/>
      <c r="M305" s="156"/>
      <c r="N305" s="156"/>
      <c r="O305" s="156"/>
      <c r="P305" s="156"/>
      <c r="Q305" s="152"/>
      <c r="R305" s="152"/>
      <c r="S305" s="152"/>
      <c r="T305" s="152"/>
      <c r="U305" s="152"/>
      <c r="V305" s="152"/>
      <c r="W305" s="152"/>
      <c r="X305" s="152"/>
      <c r="Y305" s="149"/>
    </row>
    <row r="306" spans="3:25" s="151" customFormat="1" ht="12.75">
      <c r="C306" s="152"/>
      <c r="D306" s="152"/>
      <c r="E306" s="149"/>
      <c r="F306" s="152"/>
      <c r="G306" s="152"/>
      <c r="H306" s="152"/>
      <c r="I306" s="152"/>
      <c r="J306" s="156"/>
      <c r="K306" s="156"/>
      <c r="L306" s="156"/>
      <c r="M306" s="156"/>
      <c r="N306" s="156"/>
      <c r="O306" s="156"/>
      <c r="P306" s="156"/>
      <c r="Q306" s="152"/>
      <c r="R306" s="152"/>
      <c r="S306" s="152"/>
      <c r="T306" s="152"/>
      <c r="U306" s="152"/>
      <c r="V306" s="152"/>
      <c r="W306" s="152"/>
      <c r="X306" s="152"/>
      <c r="Y306" s="149"/>
    </row>
    <row r="307" spans="3:25" s="151" customFormat="1" ht="12.75">
      <c r="C307" s="152"/>
      <c r="D307" s="152"/>
      <c r="E307" s="149"/>
      <c r="F307" s="152"/>
      <c r="G307" s="152"/>
      <c r="H307" s="152"/>
      <c r="I307" s="152"/>
      <c r="J307" s="156"/>
      <c r="K307" s="156"/>
      <c r="L307" s="156"/>
      <c r="M307" s="156"/>
      <c r="N307" s="156"/>
      <c r="O307" s="156"/>
      <c r="P307" s="156"/>
      <c r="Q307" s="152"/>
      <c r="R307" s="152"/>
      <c r="S307" s="152"/>
      <c r="T307" s="152"/>
      <c r="U307" s="152"/>
      <c r="V307" s="152"/>
      <c r="W307" s="152"/>
      <c r="X307" s="152"/>
      <c r="Y307" s="149"/>
    </row>
    <row r="308" spans="3:25" s="151" customFormat="1" ht="12.75">
      <c r="C308" s="152"/>
      <c r="D308" s="152"/>
      <c r="E308" s="149"/>
      <c r="F308" s="152"/>
      <c r="G308" s="152"/>
      <c r="H308" s="152"/>
      <c r="I308" s="152"/>
      <c r="J308" s="156"/>
      <c r="K308" s="156"/>
      <c r="L308" s="156"/>
      <c r="M308" s="156"/>
      <c r="N308" s="156"/>
      <c r="O308" s="156"/>
      <c r="P308" s="156"/>
      <c r="Q308" s="152"/>
      <c r="R308" s="152"/>
      <c r="S308" s="152"/>
      <c r="T308" s="152"/>
      <c r="U308" s="152"/>
      <c r="V308" s="152"/>
      <c r="W308" s="152"/>
      <c r="X308" s="152"/>
      <c r="Y308" s="149"/>
    </row>
    <row r="309" spans="3:25" s="151" customFormat="1" ht="12.75">
      <c r="C309" s="152"/>
      <c r="D309" s="152"/>
      <c r="E309" s="149"/>
      <c r="F309" s="152"/>
      <c r="G309" s="152"/>
      <c r="H309" s="152"/>
      <c r="I309" s="152"/>
      <c r="J309" s="156"/>
      <c r="K309" s="156"/>
      <c r="L309" s="156"/>
      <c r="M309" s="156"/>
      <c r="N309" s="156"/>
      <c r="O309" s="156"/>
      <c r="P309" s="156"/>
      <c r="Q309" s="152"/>
      <c r="R309" s="152"/>
      <c r="S309" s="152"/>
      <c r="T309" s="152"/>
      <c r="U309" s="152"/>
      <c r="V309" s="152"/>
      <c r="W309" s="152"/>
      <c r="X309" s="152"/>
      <c r="Y309" s="149"/>
    </row>
    <row r="310" spans="3:25" s="151" customFormat="1" ht="12.75">
      <c r="C310" s="152"/>
      <c r="D310" s="152"/>
      <c r="E310" s="149"/>
      <c r="F310" s="152"/>
      <c r="G310" s="152"/>
      <c r="H310" s="152"/>
      <c r="I310" s="152"/>
      <c r="J310" s="156"/>
      <c r="K310" s="156"/>
      <c r="L310" s="156"/>
      <c r="M310" s="156"/>
      <c r="N310" s="156"/>
      <c r="O310" s="156"/>
      <c r="P310" s="156"/>
      <c r="Q310" s="152"/>
      <c r="R310" s="152"/>
      <c r="S310" s="152"/>
      <c r="T310" s="152"/>
      <c r="U310" s="152"/>
      <c r="V310" s="152"/>
      <c r="W310" s="152"/>
      <c r="X310" s="152"/>
      <c r="Y310" s="149"/>
    </row>
    <row r="311" spans="3:25" s="151" customFormat="1" ht="12.75">
      <c r="C311" s="152"/>
      <c r="D311" s="152"/>
      <c r="E311" s="149"/>
      <c r="F311" s="152"/>
      <c r="G311" s="152"/>
      <c r="H311" s="152"/>
      <c r="I311" s="152"/>
      <c r="J311" s="156"/>
      <c r="K311" s="156"/>
      <c r="L311" s="156"/>
      <c r="M311" s="156"/>
      <c r="N311" s="156"/>
      <c r="O311" s="156"/>
      <c r="P311" s="156"/>
      <c r="Q311" s="152"/>
      <c r="R311" s="152"/>
      <c r="S311" s="152"/>
      <c r="T311" s="152"/>
      <c r="U311" s="152"/>
      <c r="V311" s="152"/>
      <c r="W311" s="152"/>
      <c r="X311" s="152"/>
      <c r="Y311" s="149"/>
    </row>
    <row r="312" spans="3:25" s="151" customFormat="1" ht="12.75">
      <c r="C312" s="152"/>
      <c r="D312" s="152"/>
      <c r="E312" s="149"/>
      <c r="F312" s="152"/>
      <c r="G312" s="152"/>
      <c r="H312" s="152"/>
      <c r="I312" s="152"/>
      <c r="J312" s="156"/>
      <c r="K312" s="156"/>
      <c r="L312" s="156"/>
      <c r="M312" s="156"/>
      <c r="N312" s="156"/>
      <c r="O312" s="156"/>
      <c r="P312" s="156"/>
      <c r="Q312" s="152"/>
      <c r="R312" s="152"/>
      <c r="S312" s="152"/>
      <c r="T312" s="152"/>
      <c r="U312" s="152"/>
      <c r="V312" s="152"/>
      <c r="W312" s="152"/>
      <c r="X312" s="152"/>
      <c r="Y312" s="149"/>
    </row>
    <row r="313" spans="3:25" s="151" customFormat="1" ht="12.75">
      <c r="C313" s="152"/>
      <c r="D313" s="152"/>
      <c r="E313" s="149"/>
      <c r="F313" s="152"/>
      <c r="G313" s="152"/>
      <c r="H313" s="152"/>
      <c r="I313" s="152"/>
      <c r="J313" s="156"/>
      <c r="K313" s="156"/>
      <c r="L313" s="156"/>
      <c r="M313" s="156"/>
      <c r="N313" s="156"/>
      <c r="O313" s="156"/>
      <c r="P313" s="156"/>
      <c r="Q313" s="152"/>
      <c r="R313" s="152"/>
      <c r="S313" s="152"/>
      <c r="T313" s="152"/>
      <c r="U313" s="152"/>
      <c r="V313" s="152"/>
      <c r="W313" s="152"/>
      <c r="X313" s="152"/>
      <c r="Y313" s="149"/>
    </row>
    <row r="314" spans="3:25" s="151" customFormat="1" ht="12.75">
      <c r="C314" s="152"/>
      <c r="D314" s="152"/>
      <c r="E314" s="149"/>
      <c r="F314" s="152"/>
      <c r="G314" s="152"/>
      <c r="H314" s="152"/>
      <c r="I314" s="152"/>
      <c r="J314" s="156"/>
      <c r="K314" s="156"/>
      <c r="L314" s="156"/>
      <c r="M314" s="156"/>
      <c r="N314" s="156"/>
      <c r="O314" s="156"/>
      <c r="P314" s="156"/>
      <c r="Q314" s="152"/>
      <c r="R314" s="152"/>
      <c r="S314" s="152"/>
      <c r="T314" s="152"/>
      <c r="U314" s="152"/>
      <c r="V314" s="152"/>
      <c r="W314" s="152"/>
      <c r="X314" s="152"/>
      <c r="Y314" s="149"/>
    </row>
    <row r="315" spans="3:25" s="151" customFormat="1" ht="12.75">
      <c r="C315" s="152"/>
      <c r="D315" s="152"/>
      <c r="E315" s="149"/>
      <c r="F315" s="152"/>
      <c r="G315" s="152"/>
      <c r="H315" s="152"/>
      <c r="I315" s="152"/>
      <c r="J315" s="156"/>
      <c r="K315" s="156"/>
      <c r="L315" s="156"/>
      <c r="M315" s="156"/>
      <c r="N315" s="156"/>
      <c r="O315" s="156"/>
      <c r="P315" s="156"/>
      <c r="Q315" s="152"/>
      <c r="R315" s="152"/>
      <c r="S315" s="152"/>
      <c r="T315" s="152"/>
      <c r="U315" s="152"/>
      <c r="V315" s="152"/>
      <c r="W315" s="152"/>
      <c r="X315" s="152"/>
      <c r="Y315" s="149"/>
    </row>
    <row r="316" spans="3:25" s="151" customFormat="1" ht="12.75">
      <c r="C316" s="152"/>
      <c r="D316" s="152"/>
      <c r="E316" s="149"/>
      <c r="F316" s="152"/>
      <c r="G316" s="152"/>
      <c r="H316" s="152"/>
      <c r="I316" s="152"/>
      <c r="J316" s="156"/>
      <c r="K316" s="156"/>
      <c r="L316" s="156"/>
      <c r="M316" s="156"/>
      <c r="N316" s="156"/>
      <c r="O316" s="156"/>
      <c r="P316" s="156"/>
      <c r="Q316" s="152"/>
      <c r="R316" s="152"/>
      <c r="S316" s="152"/>
      <c r="T316" s="152"/>
      <c r="U316" s="152"/>
      <c r="V316" s="152"/>
      <c r="W316" s="152"/>
      <c r="X316" s="152"/>
      <c r="Y316" s="149"/>
    </row>
    <row r="317" spans="3:25" s="151" customFormat="1" ht="12.75">
      <c r="C317" s="152"/>
      <c r="D317" s="152"/>
      <c r="E317" s="149"/>
      <c r="F317" s="152"/>
      <c r="G317" s="152"/>
      <c r="H317" s="152"/>
      <c r="I317" s="152"/>
      <c r="J317" s="156"/>
      <c r="K317" s="156"/>
      <c r="L317" s="156"/>
      <c r="M317" s="156"/>
      <c r="N317" s="156"/>
      <c r="O317" s="156"/>
      <c r="P317" s="156"/>
      <c r="Q317" s="152"/>
      <c r="R317" s="152"/>
      <c r="S317" s="152"/>
      <c r="T317" s="152"/>
      <c r="U317" s="152"/>
      <c r="V317" s="152"/>
      <c r="W317" s="152"/>
      <c r="X317" s="152"/>
      <c r="Y317" s="149"/>
    </row>
    <row r="318" spans="3:25" s="151" customFormat="1" ht="12.75">
      <c r="C318" s="152"/>
      <c r="D318" s="152"/>
      <c r="E318" s="149"/>
      <c r="F318" s="152"/>
      <c r="G318" s="152"/>
      <c r="H318" s="152"/>
      <c r="I318" s="152"/>
      <c r="J318" s="156"/>
      <c r="K318" s="156"/>
      <c r="L318" s="156"/>
      <c r="M318" s="156"/>
      <c r="N318" s="156"/>
      <c r="O318" s="156"/>
      <c r="P318" s="156"/>
      <c r="Q318" s="152"/>
      <c r="R318" s="152"/>
      <c r="S318" s="152"/>
      <c r="T318" s="152"/>
      <c r="U318" s="152"/>
      <c r="V318" s="152"/>
      <c r="W318" s="152"/>
      <c r="X318" s="152"/>
      <c r="Y318" s="149"/>
    </row>
    <row r="319" spans="3:25" s="151" customFormat="1" ht="12.75">
      <c r="C319" s="152"/>
      <c r="D319" s="152"/>
      <c r="E319" s="149"/>
      <c r="F319" s="152"/>
      <c r="G319" s="152"/>
      <c r="H319" s="152"/>
      <c r="I319" s="152"/>
      <c r="J319" s="156"/>
      <c r="K319" s="156"/>
      <c r="L319" s="156"/>
      <c r="M319" s="156"/>
      <c r="N319" s="156"/>
      <c r="O319" s="156"/>
      <c r="P319" s="156"/>
      <c r="Q319" s="152"/>
      <c r="R319" s="152"/>
      <c r="S319" s="152"/>
      <c r="T319" s="152"/>
      <c r="U319" s="152"/>
      <c r="V319" s="152"/>
      <c r="W319" s="152"/>
      <c r="X319" s="152"/>
      <c r="Y319" s="149"/>
    </row>
    <row r="320" spans="3:25" s="151" customFormat="1" ht="12.75">
      <c r="C320" s="152"/>
      <c r="D320" s="152"/>
      <c r="E320" s="149"/>
      <c r="F320" s="152"/>
      <c r="G320" s="152"/>
      <c r="H320" s="152"/>
      <c r="I320" s="152"/>
      <c r="J320" s="156"/>
      <c r="K320" s="156"/>
      <c r="L320" s="156"/>
      <c r="M320" s="156"/>
      <c r="N320" s="156"/>
      <c r="O320" s="156"/>
      <c r="P320" s="156"/>
      <c r="Q320" s="152"/>
      <c r="R320" s="152"/>
      <c r="S320" s="152"/>
      <c r="T320" s="152"/>
      <c r="U320" s="152"/>
      <c r="V320" s="152"/>
      <c r="W320" s="152"/>
      <c r="X320" s="152"/>
      <c r="Y320" s="149"/>
    </row>
    <row r="321" spans="3:25" s="151" customFormat="1" ht="12.75">
      <c r="C321" s="152"/>
      <c r="D321" s="152"/>
      <c r="E321" s="149"/>
      <c r="F321" s="152"/>
      <c r="G321" s="152"/>
      <c r="H321" s="152"/>
      <c r="I321" s="152"/>
      <c r="J321" s="156"/>
      <c r="K321" s="156"/>
      <c r="L321" s="156"/>
      <c r="M321" s="156"/>
      <c r="N321" s="156"/>
      <c r="O321" s="156"/>
      <c r="P321" s="156"/>
      <c r="Q321" s="152"/>
      <c r="R321" s="152"/>
      <c r="S321" s="152"/>
      <c r="T321" s="152"/>
      <c r="U321" s="152"/>
      <c r="V321" s="152"/>
      <c r="W321" s="152"/>
      <c r="X321" s="152"/>
      <c r="Y321" s="149"/>
    </row>
    <row r="322" spans="3:25" s="151" customFormat="1" ht="12.75">
      <c r="C322" s="152"/>
      <c r="D322" s="152"/>
      <c r="E322" s="149"/>
      <c r="F322" s="152"/>
      <c r="G322" s="152"/>
      <c r="H322" s="152"/>
      <c r="I322" s="152"/>
      <c r="J322" s="156"/>
      <c r="K322" s="156"/>
      <c r="L322" s="156"/>
      <c r="M322" s="156"/>
      <c r="N322" s="156"/>
      <c r="O322" s="156"/>
      <c r="P322" s="156"/>
      <c r="Q322" s="152"/>
      <c r="R322" s="152"/>
      <c r="S322" s="152"/>
      <c r="T322" s="152"/>
      <c r="U322" s="152"/>
      <c r="V322" s="152"/>
      <c r="W322" s="152"/>
      <c r="X322" s="152"/>
      <c r="Y322" s="149"/>
    </row>
    <row r="323" spans="3:25" s="151" customFormat="1" ht="12.75">
      <c r="C323" s="152"/>
      <c r="D323" s="152"/>
      <c r="E323" s="149"/>
      <c r="F323" s="152"/>
      <c r="G323" s="152"/>
      <c r="H323" s="152"/>
      <c r="I323" s="152"/>
      <c r="J323" s="156"/>
      <c r="K323" s="156"/>
      <c r="L323" s="156"/>
      <c r="M323" s="156"/>
      <c r="N323" s="156"/>
      <c r="O323" s="156"/>
      <c r="P323" s="156"/>
      <c r="Q323" s="152"/>
      <c r="R323" s="152"/>
      <c r="S323" s="152"/>
      <c r="T323" s="152"/>
      <c r="U323" s="152"/>
      <c r="V323" s="152"/>
      <c r="W323" s="152"/>
      <c r="X323" s="152"/>
      <c r="Y323" s="149"/>
    </row>
    <row r="324" spans="3:25" s="151" customFormat="1" ht="12.75">
      <c r="C324" s="152"/>
      <c r="D324" s="152"/>
      <c r="E324" s="149"/>
      <c r="F324" s="152"/>
      <c r="G324" s="152"/>
      <c r="H324" s="152"/>
      <c r="I324" s="152"/>
      <c r="J324" s="156"/>
      <c r="K324" s="156"/>
      <c r="L324" s="156"/>
      <c r="M324" s="156"/>
      <c r="N324" s="156"/>
      <c r="O324" s="156"/>
      <c r="P324" s="156"/>
      <c r="Q324" s="152"/>
      <c r="R324" s="152"/>
      <c r="S324" s="152"/>
      <c r="T324" s="152"/>
      <c r="U324" s="152"/>
      <c r="V324" s="152"/>
      <c r="W324" s="152"/>
      <c r="X324" s="152"/>
      <c r="Y324" s="149"/>
    </row>
    <row r="325" spans="3:25" s="151" customFormat="1" ht="12.75">
      <c r="C325" s="152"/>
      <c r="D325" s="152"/>
      <c r="E325" s="149"/>
      <c r="F325" s="152"/>
      <c r="G325" s="152"/>
      <c r="H325" s="152"/>
      <c r="I325" s="152"/>
      <c r="J325" s="156"/>
      <c r="K325" s="156"/>
      <c r="L325" s="156"/>
      <c r="M325" s="156"/>
      <c r="N325" s="156"/>
      <c r="O325" s="156"/>
      <c r="P325" s="156"/>
      <c r="Q325" s="152"/>
      <c r="R325" s="152"/>
      <c r="S325" s="152"/>
      <c r="T325" s="152"/>
      <c r="U325" s="152"/>
      <c r="V325" s="152"/>
      <c r="W325" s="152"/>
      <c r="X325" s="152"/>
      <c r="Y325" s="149"/>
    </row>
    <row r="326" spans="3:25" s="151" customFormat="1" ht="12.75">
      <c r="C326" s="152"/>
      <c r="D326" s="152"/>
      <c r="E326" s="149"/>
      <c r="F326" s="152"/>
      <c r="G326" s="152"/>
      <c r="H326" s="152"/>
      <c r="I326" s="152"/>
      <c r="J326" s="156"/>
      <c r="K326" s="156"/>
      <c r="L326" s="156"/>
      <c r="M326" s="156"/>
      <c r="N326" s="156"/>
      <c r="O326" s="156"/>
      <c r="P326" s="156"/>
      <c r="Q326" s="152"/>
      <c r="R326" s="152"/>
      <c r="S326" s="152"/>
      <c r="T326" s="152"/>
      <c r="U326" s="152"/>
      <c r="V326" s="152"/>
      <c r="W326" s="152"/>
      <c r="X326" s="152"/>
      <c r="Y326" s="149"/>
    </row>
    <row r="327" spans="3:25" s="151" customFormat="1" ht="12.75">
      <c r="C327" s="152"/>
      <c r="D327" s="152"/>
      <c r="E327" s="149"/>
      <c r="F327" s="152"/>
      <c r="G327" s="152"/>
      <c r="H327" s="152"/>
      <c r="I327" s="152"/>
      <c r="J327" s="156"/>
      <c r="K327" s="156"/>
      <c r="L327" s="156"/>
      <c r="M327" s="156"/>
      <c r="N327" s="156"/>
      <c r="O327" s="156"/>
      <c r="P327" s="156"/>
      <c r="Q327" s="152"/>
      <c r="R327" s="152"/>
      <c r="S327" s="152"/>
      <c r="T327" s="152"/>
      <c r="U327" s="152"/>
      <c r="V327" s="152"/>
      <c r="W327" s="152"/>
      <c r="X327" s="152"/>
      <c r="Y327" s="149"/>
    </row>
    <row r="328" spans="3:25" s="151" customFormat="1" ht="12.75">
      <c r="C328" s="152"/>
      <c r="D328" s="152"/>
      <c r="E328" s="149"/>
      <c r="F328" s="152"/>
      <c r="G328" s="152"/>
      <c r="H328" s="152"/>
      <c r="I328" s="152"/>
      <c r="J328" s="156"/>
      <c r="K328" s="156"/>
      <c r="L328" s="156"/>
      <c r="M328" s="156"/>
      <c r="N328" s="156"/>
      <c r="O328" s="156"/>
      <c r="P328" s="156"/>
      <c r="Q328" s="152"/>
      <c r="R328" s="152"/>
      <c r="S328" s="152"/>
      <c r="T328" s="152"/>
      <c r="U328" s="152"/>
      <c r="V328" s="152"/>
      <c r="W328" s="152"/>
      <c r="X328" s="152"/>
      <c r="Y328" s="149"/>
    </row>
    <row r="329" spans="3:25" s="151" customFormat="1" ht="12.75">
      <c r="C329" s="152"/>
      <c r="D329" s="152"/>
      <c r="E329" s="149"/>
      <c r="F329" s="152"/>
      <c r="G329" s="152"/>
      <c r="H329" s="152"/>
      <c r="I329" s="152"/>
      <c r="J329" s="156"/>
      <c r="K329" s="156"/>
      <c r="L329" s="156"/>
      <c r="M329" s="156"/>
      <c r="N329" s="156"/>
      <c r="O329" s="156"/>
      <c r="P329" s="156"/>
      <c r="Q329" s="152"/>
      <c r="R329" s="152"/>
      <c r="S329" s="152"/>
      <c r="T329" s="152"/>
      <c r="U329" s="152"/>
      <c r="V329" s="152"/>
      <c r="W329" s="152"/>
      <c r="X329" s="152"/>
      <c r="Y329" s="149"/>
    </row>
    <row r="330" spans="3:25" s="151" customFormat="1" ht="12.75">
      <c r="C330" s="152"/>
      <c r="D330" s="152"/>
      <c r="E330" s="149"/>
      <c r="F330" s="152"/>
      <c r="G330" s="152"/>
      <c r="H330" s="152"/>
      <c r="I330" s="152"/>
      <c r="J330" s="156"/>
      <c r="K330" s="156"/>
      <c r="L330" s="156"/>
      <c r="M330" s="156"/>
      <c r="N330" s="156"/>
      <c r="O330" s="156"/>
      <c r="P330" s="156"/>
      <c r="Q330" s="152"/>
      <c r="R330" s="152"/>
      <c r="S330" s="152"/>
      <c r="T330" s="152"/>
      <c r="U330" s="152"/>
      <c r="V330" s="152"/>
      <c r="W330" s="152"/>
      <c r="X330" s="152"/>
      <c r="Y330" s="149"/>
    </row>
    <row r="331" spans="3:25" s="151" customFormat="1" ht="12.75">
      <c r="C331" s="152"/>
      <c r="D331" s="152"/>
      <c r="E331" s="149"/>
      <c r="F331" s="152"/>
      <c r="G331" s="152"/>
      <c r="H331" s="152"/>
      <c r="I331" s="152"/>
      <c r="J331" s="156"/>
      <c r="K331" s="156"/>
      <c r="L331" s="156"/>
      <c r="M331" s="156"/>
      <c r="N331" s="156"/>
      <c r="O331" s="156"/>
      <c r="P331" s="156"/>
      <c r="Q331" s="152"/>
      <c r="R331" s="152"/>
      <c r="S331" s="152"/>
      <c r="T331" s="152"/>
      <c r="U331" s="152"/>
      <c r="V331" s="152"/>
      <c r="W331" s="152"/>
      <c r="X331" s="152"/>
      <c r="Y331" s="149"/>
    </row>
    <row r="332" spans="3:25" s="151" customFormat="1" ht="12.75">
      <c r="C332" s="152"/>
      <c r="D332" s="152"/>
      <c r="E332" s="149"/>
      <c r="F332" s="152"/>
      <c r="G332" s="152"/>
      <c r="H332" s="152"/>
      <c r="I332" s="152"/>
      <c r="J332" s="156"/>
      <c r="K332" s="156"/>
      <c r="L332" s="156"/>
      <c r="M332" s="156"/>
      <c r="N332" s="156"/>
      <c r="O332" s="156"/>
      <c r="P332" s="156"/>
      <c r="Q332" s="152"/>
      <c r="R332" s="152"/>
      <c r="S332" s="152"/>
      <c r="T332" s="152"/>
      <c r="U332" s="152"/>
      <c r="V332" s="152"/>
      <c r="W332" s="152"/>
      <c r="X332" s="152"/>
      <c r="Y332" s="149"/>
    </row>
    <row r="333" spans="3:25" s="151" customFormat="1" ht="12.75">
      <c r="C333" s="152"/>
      <c r="D333" s="152"/>
      <c r="E333" s="149"/>
      <c r="F333" s="152"/>
      <c r="G333" s="152"/>
      <c r="H333" s="152"/>
      <c r="I333" s="152"/>
      <c r="J333" s="156"/>
      <c r="K333" s="156"/>
      <c r="L333" s="156"/>
      <c r="M333" s="156"/>
      <c r="N333" s="156"/>
      <c r="O333" s="156"/>
      <c r="P333" s="156"/>
      <c r="Q333" s="152"/>
      <c r="R333" s="152"/>
      <c r="S333" s="152"/>
      <c r="T333" s="152"/>
      <c r="U333" s="152"/>
      <c r="V333" s="152"/>
      <c r="W333" s="152"/>
      <c r="X333" s="152"/>
      <c r="Y333" s="149"/>
    </row>
    <row r="334" spans="3:25" s="151" customFormat="1" ht="12.75">
      <c r="C334" s="152"/>
      <c r="D334" s="152"/>
      <c r="E334" s="149"/>
      <c r="F334" s="152"/>
      <c r="G334" s="152"/>
      <c r="H334" s="152"/>
      <c r="I334" s="152"/>
      <c r="J334" s="156"/>
      <c r="K334" s="156"/>
      <c r="L334" s="156"/>
      <c r="M334" s="156"/>
      <c r="N334" s="156"/>
      <c r="O334" s="156"/>
      <c r="P334" s="156"/>
      <c r="Q334" s="152"/>
      <c r="R334" s="152"/>
      <c r="S334" s="152"/>
      <c r="T334" s="152"/>
      <c r="U334" s="152"/>
      <c r="V334" s="152"/>
      <c r="W334" s="152"/>
      <c r="X334" s="152"/>
      <c r="Y334" s="149"/>
    </row>
    <row r="335" spans="3:25" s="151" customFormat="1" ht="12.75">
      <c r="C335" s="152"/>
      <c r="D335" s="152"/>
      <c r="E335" s="149"/>
      <c r="F335" s="152"/>
      <c r="G335" s="152"/>
      <c r="H335" s="152"/>
      <c r="I335" s="152"/>
      <c r="J335" s="156"/>
      <c r="K335" s="156"/>
      <c r="L335" s="156"/>
      <c r="M335" s="156"/>
      <c r="N335" s="156"/>
      <c r="O335" s="156"/>
      <c r="P335" s="156"/>
      <c r="Q335" s="152"/>
      <c r="R335" s="152"/>
      <c r="S335" s="152"/>
      <c r="T335" s="152"/>
      <c r="U335" s="152"/>
      <c r="V335" s="152"/>
      <c r="W335" s="152"/>
      <c r="X335" s="152"/>
      <c r="Y335" s="149"/>
    </row>
    <row r="336" spans="3:25" s="151" customFormat="1" ht="12.75">
      <c r="C336" s="152"/>
      <c r="D336" s="152"/>
      <c r="E336" s="149"/>
      <c r="F336" s="152"/>
      <c r="G336" s="152"/>
      <c r="H336" s="152"/>
      <c r="I336" s="152"/>
      <c r="J336" s="156"/>
      <c r="K336" s="156"/>
      <c r="L336" s="156"/>
      <c r="M336" s="156"/>
      <c r="N336" s="156"/>
      <c r="O336" s="156"/>
      <c r="P336" s="156"/>
      <c r="Q336" s="152"/>
      <c r="R336" s="152"/>
      <c r="S336" s="152"/>
      <c r="T336" s="152"/>
      <c r="U336" s="152"/>
      <c r="V336" s="152"/>
      <c r="W336" s="152"/>
      <c r="X336" s="152"/>
      <c r="Y336" s="149"/>
    </row>
    <row r="337" spans="3:25" s="151" customFormat="1" ht="12.75">
      <c r="C337" s="152"/>
      <c r="D337" s="152"/>
      <c r="E337" s="149"/>
      <c r="F337" s="152"/>
      <c r="G337" s="152"/>
      <c r="H337" s="152"/>
      <c r="I337" s="152"/>
      <c r="J337" s="156"/>
      <c r="K337" s="156"/>
      <c r="L337" s="156"/>
      <c r="M337" s="156"/>
      <c r="N337" s="156"/>
      <c r="O337" s="156"/>
      <c r="P337" s="156"/>
      <c r="Q337" s="152"/>
      <c r="R337" s="152"/>
      <c r="S337" s="152"/>
      <c r="T337" s="152"/>
      <c r="U337" s="152"/>
      <c r="V337" s="152"/>
      <c r="W337" s="152"/>
      <c r="X337" s="152"/>
      <c r="Y337" s="149"/>
    </row>
    <row r="338" spans="3:25" s="151" customFormat="1" ht="12.75">
      <c r="C338" s="152"/>
      <c r="D338" s="152"/>
      <c r="E338" s="149"/>
      <c r="F338" s="152"/>
      <c r="G338" s="152"/>
      <c r="H338" s="152"/>
      <c r="I338" s="152"/>
      <c r="J338" s="156"/>
      <c r="K338" s="156"/>
      <c r="L338" s="156"/>
      <c r="M338" s="156"/>
      <c r="N338" s="156"/>
      <c r="O338" s="156"/>
      <c r="P338" s="156"/>
      <c r="Q338" s="152"/>
      <c r="R338" s="152"/>
      <c r="S338" s="152"/>
      <c r="T338" s="152"/>
      <c r="U338" s="152"/>
      <c r="V338" s="152"/>
      <c r="W338" s="152"/>
      <c r="X338" s="152"/>
      <c r="Y338" s="149"/>
    </row>
    <row r="339" spans="3:25" s="151" customFormat="1" ht="12.75">
      <c r="C339" s="152"/>
      <c r="D339" s="152"/>
      <c r="E339" s="149"/>
      <c r="F339" s="152"/>
      <c r="G339" s="152"/>
      <c r="H339" s="152"/>
      <c r="I339" s="152"/>
      <c r="J339" s="156"/>
      <c r="K339" s="156"/>
      <c r="L339" s="156"/>
      <c r="M339" s="156"/>
      <c r="N339" s="156"/>
      <c r="O339" s="156"/>
      <c r="P339" s="156"/>
      <c r="Q339" s="152"/>
      <c r="R339" s="152"/>
      <c r="S339" s="152"/>
      <c r="T339" s="152"/>
      <c r="U339" s="152"/>
      <c r="V339" s="152"/>
      <c r="W339" s="152"/>
      <c r="X339" s="152"/>
      <c r="Y339" s="149"/>
    </row>
    <row r="340" spans="3:25" s="151" customFormat="1" ht="12.75">
      <c r="C340" s="152"/>
      <c r="D340" s="152"/>
      <c r="E340" s="149"/>
      <c r="F340" s="152"/>
      <c r="G340" s="152"/>
      <c r="H340" s="152"/>
      <c r="I340" s="152"/>
      <c r="J340" s="156"/>
      <c r="K340" s="156"/>
      <c r="L340" s="156"/>
      <c r="M340" s="156"/>
      <c r="N340" s="156"/>
      <c r="O340" s="156"/>
      <c r="P340" s="156"/>
      <c r="Q340" s="152"/>
      <c r="R340" s="152"/>
      <c r="S340" s="152"/>
      <c r="T340" s="152"/>
      <c r="U340" s="152"/>
      <c r="V340" s="152"/>
      <c r="W340" s="152"/>
      <c r="X340" s="152"/>
      <c r="Y340" s="149"/>
    </row>
    <row r="341" spans="3:25" s="151" customFormat="1" ht="12.75">
      <c r="C341" s="152"/>
      <c r="D341" s="152"/>
      <c r="E341" s="149"/>
      <c r="F341" s="152"/>
      <c r="G341" s="152"/>
      <c r="H341" s="152"/>
      <c r="I341" s="152"/>
      <c r="J341" s="156"/>
      <c r="K341" s="156"/>
      <c r="L341" s="156"/>
      <c r="M341" s="156"/>
      <c r="N341" s="156"/>
      <c r="O341" s="156"/>
      <c r="P341" s="156"/>
      <c r="Q341" s="152"/>
      <c r="R341" s="152"/>
      <c r="S341" s="152"/>
      <c r="T341" s="152"/>
      <c r="U341" s="152"/>
      <c r="V341" s="152"/>
      <c r="W341" s="152"/>
      <c r="X341" s="152"/>
      <c r="Y341" s="149"/>
    </row>
    <row r="342" spans="3:25" s="151" customFormat="1" ht="12.75">
      <c r="C342" s="152"/>
      <c r="D342" s="152"/>
      <c r="E342" s="149"/>
      <c r="F342" s="152"/>
      <c r="G342" s="152"/>
      <c r="H342" s="152"/>
      <c r="I342" s="152"/>
      <c r="J342" s="156"/>
      <c r="K342" s="156"/>
      <c r="L342" s="156"/>
      <c r="M342" s="156"/>
      <c r="N342" s="156"/>
      <c r="O342" s="156"/>
      <c r="P342" s="156"/>
      <c r="Q342" s="152"/>
      <c r="R342" s="152"/>
      <c r="S342" s="152"/>
      <c r="T342" s="152"/>
      <c r="U342" s="152"/>
      <c r="V342" s="152"/>
      <c r="W342" s="152"/>
      <c r="X342" s="152"/>
      <c r="Y342" s="149"/>
    </row>
    <row r="343" spans="3:25" s="151" customFormat="1" ht="12.75">
      <c r="C343" s="152"/>
      <c r="D343" s="152"/>
      <c r="E343" s="149"/>
      <c r="F343" s="152"/>
      <c r="G343" s="152"/>
      <c r="H343" s="152"/>
      <c r="I343" s="152"/>
      <c r="J343" s="156"/>
      <c r="K343" s="156"/>
      <c r="L343" s="156"/>
      <c r="M343" s="156"/>
      <c r="N343" s="156"/>
      <c r="O343" s="156"/>
      <c r="P343" s="156"/>
      <c r="Q343" s="152"/>
      <c r="R343" s="152"/>
      <c r="S343" s="152"/>
      <c r="T343" s="152"/>
      <c r="U343" s="152"/>
      <c r="V343" s="152"/>
      <c r="W343" s="152"/>
      <c r="X343" s="152"/>
      <c r="Y343" s="149"/>
    </row>
    <row r="344" spans="3:25" s="151" customFormat="1" ht="12.75">
      <c r="C344" s="152"/>
      <c r="D344" s="152"/>
      <c r="E344" s="149"/>
      <c r="F344" s="152"/>
      <c r="G344" s="152"/>
      <c r="H344" s="152"/>
      <c r="I344" s="152"/>
      <c r="J344" s="156"/>
      <c r="K344" s="156"/>
      <c r="L344" s="156"/>
      <c r="M344" s="156"/>
      <c r="N344" s="156"/>
      <c r="O344" s="156"/>
      <c r="P344" s="156"/>
      <c r="Q344" s="152"/>
      <c r="R344" s="152"/>
      <c r="S344" s="152"/>
      <c r="T344" s="152"/>
      <c r="U344" s="152"/>
      <c r="V344" s="152"/>
      <c r="W344" s="152"/>
      <c r="X344" s="152"/>
      <c r="Y344" s="149"/>
    </row>
    <row r="345" spans="3:25" s="151" customFormat="1" ht="12.75">
      <c r="C345" s="152"/>
      <c r="D345" s="152"/>
      <c r="E345" s="149"/>
      <c r="F345" s="152"/>
      <c r="G345" s="152"/>
      <c r="H345" s="152"/>
      <c r="I345" s="152"/>
      <c r="J345" s="156"/>
      <c r="K345" s="156"/>
      <c r="L345" s="156"/>
      <c r="M345" s="156"/>
      <c r="N345" s="156"/>
      <c r="O345" s="156"/>
      <c r="P345" s="156"/>
      <c r="Q345" s="152"/>
      <c r="R345" s="152"/>
      <c r="S345" s="152"/>
      <c r="T345" s="152"/>
      <c r="U345" s="152"/>
      <c r="V345" s="152"/>
      <c r="W345" s="152"/>
      <c r="X345" s="152"/>
      <c r="Y345" s="149"/>
    </row>
    <row r="346" spans="3:25" s="151" customFormat="1" ht="12.75">
      <c r="C346" s="152"/>
      <c r="D346" s="152"/>
      <c r="E346" s="149"/>
      <c r="F346" s="152"/>
      <c r="G346" s="152"/>
      <c r="H346" s="152"/>
      <c r="I346" s="152"/>
      <c r="J346" s="156"/>
      <c r="K346" s="156"/>
      <c r="L346" s="156"/>
      <c r="M346" s="156"/>
      <c r="N346" s="156"/>
      <c r="O346" s="156"/>
      <c r="P346" s="156"/>
      <c r="Q346" s="152"/>
      <c r="R346" s="152"/>
      <c r="S346" s="152"/>
      <c r="T346" s="152"/>
      <c r="U346" s="152"/>
      <c r="V346" s="152"/>
      <c r="W346" s="152"/>
      <c r="X346" s="152"/>
      <c r="Y346" s="149"/>
    </row>
    <row r="347" spans="3:25" s="151" customFormat="1" ht="12.75">
      <c r="C347" s="152"/>
      <c r="D347" s="152"/>
      <c r="E347" s="149"/>
      <c r="F347" s="152"/>
      <c r="G347" s="152"/>
      <c r="H347" s="152"/>
      <c r="I347" s="152"/>
      <c r="J347" s="156"/>
      <c r="K347" s="156"/>
      <c r="L347" s="156"/>
      <c r="M347" s="156"/>
      <c r="N347" s="156"/>
      <c r="O347" s="156"/>
      <c r="P347" s="156"/>
      <c r="Q347" s="152"/>
      <c r="R347" s="152"/>
      <c r="S347" s="152"/>
      <c r="T347" s="152"/>
      <c r="U347" s="152"/>
      <c r="V347" s="152"/>
      <c r="W347" s="152"/>
      <c r="X347" s="152"/>
      <c r="Y347" s="149"/>
    </row>
    <row r="348" spans="3:25" s="151" customFormat="1" ht="12.75">
      <c r="C348" s="152"/>
      <c r="D348" s="152"/>
      <c r="E348" s="149"/>
      <c r="F348" s="152"/>
      <c r="G348" s="152"/>
      <c r="H348" s="152"/>
      <c r="I348" s="152"/>
      <c r="J348" s="156"/>
      <c r="K348" s="156"/>
      <c r="L348" s="156"/>
      <c r="M348" s="156"/>
      <c r="N348" s="156"/>
      <c r="O348" s="156"/>
      <c r="P348" s="156"/>
      <c r="Q348" s="152"/>
      <c r="R348" s="152"/>
      <c r="S348" s="152"/>
      <c r="T348" s="152"/>
      <c r="U348" s="152"/>
      <c r="V348" s="152"/>
      <c r="W348" s="152"/>
      <c r="X348" s="152"/>
      <c r="Y348" s="149"/>
    </row>
    <row r="349" spans="3:25" s="151" customFormat="1" ht="12.75">
      <c r="C349" s="152"/>
      <c r="D349" s="152"/>
      <c r="E349" s="149"/>
      <c r="F349" s="152"/>
      <c r="G349" s="152"/>
      <c r="H349" s="152"/>
      <c r="I349" s="152"/>
      <c r="J349" s="156"/>
      <c r="K349" s="156"/>
      <c r="L349" s="156"/>
      <c r="M349" s="156"/>
      <c r="N349" s="156"/>
      <c r="O349" s="156"/>
      <c r="P349" s="156"/>
      <c r="Q349" s="152"/>
      <c r="R349" s="152"/>
      <c r="S349" s="152"/>
      <c r="T349" s="152"/>
      <c r="U349" s="152"/>
      <c r="V349" s="152"/>
      <c r="W349" s="152"/>
      <c r="X349" s="152"/>
      <c r="Y349" s="149"/>
    </row>
    <row r="350" spans="3:25" s="151" customFormat="1" ht="12.75">
      <c r="C350" s="152"/>
      <c r="D350" s="152"/>
      <c r="E350" s="149"/>
      <c r="F350" s="152"/>
      <c r="G350" s="152"/>
      <c r="H350" s="152"/>
      <c r="I350" s="152"/>
      <c r="J350" s="156"/>
      <c r="K350" s="156"/>
      <c r="L350" s="156"/>
      <c r="M350" s="156"/>
      <c r="N350" s="156"/>
      <c r="O350" s="156"/>
      <c r="P350" s="156"/>
      <c r="Q350" s="152"/>
      <c r="R350" s="152"/>
      <c r="S350" s="152"/>
      <c r="T350" s="152"/>
      <c r="U350" s="152"/>
      <c r="V350" s="152"/>
      <c r="W350" s="152"/>
      <c r="X350" s="152"/>
      <c r="Y350" s="149"/>
    </row>
    <row r="351" spans="3:25" s="151" customFormat="1" ht="12.75">
      <c r="C351" s="152"/>
      <c r="D351" s="152"/>
      <c r="E351" s="149"/>
      <c r="F351" s="152"/>
      <c r="G351" s="152"/>
      <c r="H351" s="152"/>
      <c r="I351" s="152"/>
      <c r="J351" s="156"/>
      <c r="K351" s="156"/>
      <c r="L351" s="156"/>
      <c r="M351" s="156"/>
      <c r="N351" s="156"/>
      <c r="O351" s="156"/>
      <c r="P351" s="156"/>
      <c r="Q351" s="152"/>
      <c r="R351" s="152"/>
      <c r="S351" s="152"/>
      <c r="T351" s="152"/>
      <c r="U351" s="152"/>
      <c r="V351" s="152"/>
      <c r="W351" s="152"/>
      <c r="X351" s="152"/>
      <c r="Y351" s="149"/>
    </row>
    <row r="352" spans="3:25" s="151" customFormat="1" ht="12.75">
      <c r="C352" s="152"/>
      <c r="D352" s="152"/>
      <c r="E352" s="149"/>
      <c r="F352" s="152"/>
      <c r="G352" s="152"/>
      <c r="H352" s="152"/>
      <c r="I352" s="152"/>
      <c r="J352" s="156"/>
      <c r="K352" s="156"/>
      <c r="L352" s="156"/>
      <c r="M352" s="156"/>
      <c r="N352" s="156"/>
      <c r="O352" s="156"/>
      <c r="P352" s="156"/>
      <c r="Q352" s="152"/>
      <c r="R352" s="152"/>
      <c r="S352" s="152"/>
      <c r="T352" s="152"/>
      <c r="U352" s="152"/>
      <c r="V352" s="152"/>
      <c r="W352" s="152"/>
      <c r="X352" s="152"/>
      <c r="Y352" s="149"/>
    </row>
    <row r="353" spans="3:25" s="151" customFormat="1" ht="12.75">
      <c r="C353" s="152"/>
      <c r="D353" s="152"/>
      <c r="E353" s="149"/>
      <c r="F353" s="152"/>
      <c r="G353" s="152"/>
      <c r="H353" s="152"/>
      <c r="I353" s="152"/>
      <c r="J353" s="156"/>
      <c r="K353" s="156"/>
      <c r="L353" s="156"/>
      <c r="M353" s="156"/>
      <c r="N353" s="156"/>
      <c r="O353" s="156"/>
      <c r="P353" s="156"/>
      <c r="Q353" s="152"/>
      <c r="R353" s="152"/>
      <c r="S353" s="152"/>
      <c r="T353" s="152"/>
      <c r="U353" s="152"/>
      <c r="V353" s="152"/>
      <c r="W353" s="152"/>
      <c r="X353" s="152"/>
      <c r="Y353" s="149"/>
    </row>
    <row r="354" spans="3:25" s="151" customFormat="1" ht="12.75">
      <c r="C354" s="152"/>
      <c r="D354" s="152"/>
      <c r="E354" s="149"/>
      <c r="F354" s="152"/>
      <c r="G354" s="152"/>
      <c r="H354" s="152"/>
      <c r="I354" s="152"/>
      <c r="J354" s="156"/>
      <c r="K354" s="156"/>
      <c r="L354" s="156"/>
      <c r="M354" s="156"/>
      <c r="N354" s="156"/>
      <c r="O354" s="156"/>
      <c r="P354" s="156"/>
      <c r="Q354" s="152"/>
      <c r="R354" s="152"/>
      <c r="S354" s="152"/>
      <c r="T354" s="152"/>
      <c r="U354" s="152"/>
      <c r="V354" s="152"/>
      <c r="W354" s="152"/>
      <c r="X354" s="152"/>
      <c r="Y354" s="149"/>
    </row>
    <row r="355" spans="3:25" s="151" customFormat="1" ht="12.75">
      <c r="C355" s="152"/>
      <c r="D355" s="152"/>
      <c r="E355" s="149"/>
      <c r="F355" s="152"/>
      <c r="G355" s="152"/>
      <c r="H355" s="152"/>
      <c r="I355" s="152"/>
      <c r="J355" s="156"/>
      <c r="K355" s="156"/>
      <c r="L355" s="156"/>
      <c r="M355" s="156"/>
      <c r="N355" s="156"/>
      <c r="O355" s="156"/>
      <c r="P355" s="156"/>
      <c r="Q355" s="152"/>
      <c r="R355" s="152"/>
      <c r="S355" s="152"/>
      <c r="T355" s="152"/>
      <c r="U355" s="152"/>
      <c r="V355" s="152"/>
      <c r="W355" s="152"/>
      <c r="X355" s="152"/>
      <c r="Y355" s="149"/>
    </row>
    <row r="356" spans="3:25" s="151" customFormat="1" ht="12.75">
      <c r="C356" s="152"/>
      <c r="D356" s="152"/>
      <c r="E356" s="149"/>
      <c r="F356" s="152"/>
      <c r="G356" s="152"/>
      <c r="H356" s="152"/>
      <c r="I356" s="152"/>
      <c r="J356" s="156"/>
      <c r="K356" s="156"/>
      <c r="L356" s="156"/>
      <c r="M356" s="156"/>
      <c r="N356" s="156"/>
      <c r="O356" s="156"/>
      <c r="P356" s="156"/>
      <c r="Q356" s="152"/>
      <c r="R356" s="152"/>
      <c r="S356" s="152"/>
      <c r="T356" s="152"/>
      <c r="U356" s="152"/>
      <c r="V356" s="152"/>
      <c r="W356" s="152"/>
      <c r="X356" s="152"/>
      <c r="Y356" s="149"/>
    </row>
    <row r="357" spans="3:25" s="151" customFormat="1" ht="12.75">
      <c r="C357" s="152"/>
      <c r="D357" s="152"/>
      <c r="E357" s="149"/>
      <c r="F357" s="152"/>
      <c r="G357" s="152"/>
      <c r="H357" s="152"/>
      <c r="I357" s="152"/>
      <c r="J357" s="156"/>
      <c r="K357" s="156"/>
      <c r="L357" s="156"/>
      <c r="M357" s="156"/>
      <c r="N357" s="156"/>
      <c r="O357" s="156"/>
      <c r="P357" s="156"/>
      <c r="Q357" s="152"/>
      <c r="R357" s="152"/>
      <c r="S357" s="152"/>
      <c r="T357" s="152"/>
      <c r="U357" s="152"/>
      <c r="V357" s="152"/>
      <c r="W357" s="152"/>
      <c r="X357" s="152"/>
      <c r="Y357" s="149"/>
    </row>
    <row r="358" spans="3:25" s="151" customFormat="1" ht="12.75">
      <c r="C358" s="152"/>
      <c r="D358" s="152"/>
      <c r="E358" s="149"/>
      <c r="F358" s="152"/>
      <c r="G358" s="152"/>
      <c r="H358" s="152"/>
      <c r="I358" s="152"/>
      <c r="J358" s="156"/>
      <c r="K358" s="156"/>
      <c r="L358" s="156"/>
      <c r="M358" s="156"/>
      <c r="N358" s="156"/>
      <c r="O358" s="156"/>
      <c r="P358" s="156"/>
      <c r="Q358" s="152"/>
      <c r="R358" s="152"/>
      <c r="S358" s="152"/>
      <c r="T358" s="152"/>
      <c r="U358" s="152"/>
      <c r="V358" s="152"/>
      <c r="W358" s="152"/>
      <c r="X358" s="152"/>
      <c r="Y358" s="149"/>
    </row>
    <row r="359" spans="3:25" s="151" customFormat="1" ht="12.75">
      <c r="C359" s="152"/>
      <c r="D359" s="152"/>
      <c r="E359" s="149"/>
      <c r="F359" s="152"/>
      <c r="G359" s="152"/>
      <c r="H359" s="152"/>
      <c r="I359" s="152"/>
      <c r="J359" s="156"/>
      <c r="K359" s="156"/>
      <c r="L359" s="156"/>
      <c r="M359" s="156"/>
      <c r="N359" s="156"/>
      <c r="O359" s="156"/>
      <c r="P359" s="156"/>
      <c r="Q359" s="152"/>
      <c r="R359" s="152"/>
      <c r="S359" s="152"/>
      <c r="T359" s="152"/>
      <c r="U359" s="152"/>
      <c r="V359" s="152"/>
      <c r="W359" s="152"/>
      <c r="X359" s="152"/>
      <c r="Y359" s="149"/>
    </row>
    <row r="360" spans="3:25" s="151" customFormat="1" ht="12.75">
      <c r="C360" s="152"/>
      <c r="D360" s="152"/>
      <c r="E360" s="149"/>
      <c r="F360" s="152"/>
      <c r="G360" s="152"/>
      <c r="H360" s="152"/>
      <c r="I360" s="152"/>
      <c r="J360" s="156"/>
      <c r="K360" s="156"/>
      <c r="L360" s="156"/>
      <c r="M360" s="156"/>
      <c r="N360" s="156"/>
      <c r="O360" s="156"/>
      <c r="P360" s="156"/>
      <c r="Q360" s="152"/>
      <c r="R360" s="152"/>
      <c r="S360" s="152"/>
      <c r="T360" s="152"/>
      <c r="U360" s="152"/>
      <c r="V360" s="152"/>
      <c r="W360" s="152"/>
      <c r="X360" s="152"/>
      <c r="Y360" s="149"/>
    </row>
    <row r="361" spans="3:25" s="151" customFormat="1" ht="12.75">
      <c r="C361" s="152"/>
      <c r="D361" s="152"/>
      <c r="E361" s="149"/>
      <c r="F361" s="152"/>
      <c r="G361" s="152"/>
      <c r="H361" s="152"/>
      <c r="I361" s="152"/>
      <c r="J361" s="156"/>
      <c r="K361" s="156"/>
      <c r="L361" s="156"/>
      <c r="M361" s="156"/>
      <c r="N361" s="156"/>
      <c r="O361" s="156"/>
      <c r="P361" s="156"/>
      <c r="Q361" s="152"/>
      <c r="R361" s="152"/>
      <c r="S361" s="152"/>
      <c r="T361" s="152"/>
      <c r="U361" s="152"/>
      <c r="V361" s="152"/>
      <c r="W361" s="152"/>
      <c r="X361" s="152"/>
      <c r="Y361" s="149"/>
    </row>
    <row r="362" spans="3:25" s="151" customFormat="1" ht="12.75">
      <c r="C362" s="152"/>
      <c r="D362" s="152"/>
      <c r="E362" s="149"/>
      <c r="F362" s="152"/>
      <c r="G362" s="152"/>
      <c r="H362" s="152"/>
      <c r="I362" s="152"/>
      <c r="J362" s="156"/>
      <c r="K362" s="156"/>
      <c r="L362" s="156"/>
      <c r="M362" s="156"/>
      <c r="N362" s="156"/>
      <c r="O362" s="156"/>
      <c r="P362" s="156"/>
      <c r="Q362" s="152"/>
      <c r="R362" s="152"/>
      <c r="S362" s="152"/>
      <c r="T362" s="152"/>
      <c r="U362" s="152"/>
      <c r="V362" s="152"/>
      <c r="W362" s="152"/>
      <c r="X362" s="152"/>
      <c r="Y362" s="149"/>
    </row>
    <row r="363" spans="3:25" s="151" customFormat="1" ht="12.75">
      <c r="C363" s="152"/>
      <c r="D363" s="152"/>
      <c r="E363" s="149"/>
      <c r="F363" s="152"/>
      <c r="G363" s="152"/>
      <c r="H363" s="152"/>
      <c r="I363" s="152"/>
      <c r="J363" s="156"/>
      <c r="K363" s="156"/>
      <c r="L363" s="156"/>
      <c r="M363" s="156"/>
      <c r="N363" s="156"/>
      <c r="O363" s="156"/>
      <c r="P363" s="156"/>
      <c r="Q363" s="152"/>
      <c r="R363" s="152"/>
      <c r="S363" s="152"/>
      <c r="T363" s="152"/>
      <c r="U363" s="152"/>
      <c r="V363" s="152"/>
      <c r="W363" s="152"/>
      <c r="X363" s="152"/>
      <c r="Y363" s="149"/>
    </row>
    <row r="364" spans="3:25" s="151" customFormat="1" ht="12.75">
      <c r="C364" s="152"/>
      <c r="D364" s="152"/>
      <c r="E364" s="149"/>
      <c r="F364" s="152"/>
      <c r="G364" s="152"/>
      <c r="H364" s="152"/>
      <c r="I364" s="152"/>
      <c r="J364" s="156"/>
      <c r="K364" s="156"/>
      <c r="L364" s="156"/>
      <c r="M364" s="156"/>
      <c r="N364" s="156"/>
      <c r="O364" s="156"/>
      <c r="P364" s="156"/>
      <c r="Q364" s="152"/>
      <c r="R364" s="152"/>
      <c r="S364" s="152"/>
      <c r="T364" s="152"/>
      <c r="U364" s="152"/>
      <c r="V364" s="152"/>
      <c r="W364" s="152"/>
      <c r="X364" s="152"/>
      <c r="Y364" s="149"/>
    </row>
    <row r="365" spans="3:25" s="151" customFormat="1" ht="12.75">
      <c r="C365" s="152"/>
      <c r="D365" s="152"/>
      <c r="E365" s="149"/>
      <c r="F365" s="152"/>
      <c r="G365" s="152"/>
      <c r="H365" s="152"/>
      <c r="I365" s="152"/>
      <c r="J365" s="156"/>
      <c r="K365" s="156"/>
      <c r="L365" s="156"/>
      <c r="M365" s="156"/>
      <c r="N365" s="156"/>
      <c r="O365" s="156"/>
      <c r="P365" s="156"/>
      <c r="Q365" s="152"/>
      <c r="R365" s="152"/>
      <c r="S365" s="152"/>
      <c r="T365" s="152"/>
      <c r="U365" s="152"/>
      <c r="V365" s="152"/>
      <c r="W365" s="152"/>
      <c r="X365" s="152"/>
      <c r="Y365" s="149"/>
    </row>
    <row r="366" spans="3:25" s="151" customFormat="1" ht="12.75">
      <c r="C366" s="152"/>
      <c r="D366" s="152"/>
      <c r="E366" s="149"/>
      <c r="F366" s="152"/>
      <c r="G366" s="152"/>
      <c r="H366" s="152"/>
      <c r="I366" s="152"/>
      <c r="J366" s="156"/>
      <c r="K366" s="156"/>
      <c r="L366" s="156"/>
      <c r="M366" s="156"/>
      <c r="N366" s="156"/>
      <c r="O366" s="156"/>
      <c r="P366" s="156"/>
      <c r="Q366" s="152"/>
      <c r="R366" s="152"/>
      <c r="S366" s="152"/>
      <c r="T366" s="152"/>
      <c r="U366" s="152"/>
      <c r="V366" s="152"/>
      <c r="W366" s="152"/>
      <c r="X366" s="152"/>
      <c r="Y366" s="149"/>
    </row>
    <row r="367" spans="3:25" s="151" customFormat="1" ht="12.75">
      <c r="C367" s="152"/>
      <c r="D367" s="152"/>
      <c r="E367" s="149"/>
      <c r="F367" s="152"/>
      <c r="G367" s="152"/>
      <c r="H367" s="152"/>
      <c r="I367" s="152"/>
      <c r="J367" s="156"/>
      <c r="K367" s="156"/>
      <c r="L367" s="156"/>
      <c r="M367" s="156"/>
      <c r="N367" s="156"/>
      <c r="O367" s="156"/>
      <c r="P367" s="156"/>
      <c r="Q367" s="152"/>
      <c r="R367" s="152"/>
      <c r="S367" s="152"/>
      <c r="T367" s="152"/>
      <c r="U367" s="152"/>
      <c r="V367" s="152"/>
      <c r="W367" s="152"/>
      <c r="X367" s="152"/>
      <c r="Y367" s="149"/>
    </row>
    <row r="368" spans="3:25" s="151" customFormat="1" ht="12.75">
      <c r="C368" s="152"/>
      <c r="D368" s="152"/>
      <c r="E368" s="149"/>
      <c r="F368" s="152"/>
      <c r="G368" s="152"/>
      <c r="H368" s="152"/>
      <c r="I368" s="152"/>
      <c r="J368" s="156"/>
      <c r="K368" s="156"/>
      <c r="L368" s="156"/>
      <c r="M368" s="156"/>
      <c r="N368" s="156"/>
      <c r="O368" s="156"/>
      <c r="P368" s="156"/>
      <c r="Q368" s="152"/>
      <c r="R368" s="152"/>
      <c r="S368" s="152"/>
      <c r="T368" s="152"/>
      <c r="U368" s="152"/>
      <c r="V368" s="152"/>
      <c r="W368" s="152"/>
      <c r="X368" s="152"/>
      <c r="Y368" s="149"/>
    </row>
    <row r="369" spans="3:25" s="151" customFormat="1" ht="12.75">
      <c r="C369" s="152"/>
      <c r="D369" s="152"/>
      <c r="E369" s="149"/>
      <c r="F369" s="152"/>
      <c r="G369" s="152"/>
      <c r="H369" s="152"/>
      <c r="I369" s="152"/>
      <c r="J369" s="156"/>
      <c r="K369" s="156"/>
      <c r="L369" s="156"/>
      <c r="M369" s="156"/>
      <c r="N369" s="156"/>
      <c r="O369" s="156"/>
      <c r="P369" s="156"/>
      <c r="Q369" s="152"/>
      <c r="R369" s="152"/>
      <c r="S369" s="152"/>
      <c r="T369" s="152"/>
      <c r="U369" s="152"/>
      <c r="V369" s="152"/>
      <c r="W369" s="152"/>
      <c r="X369" s="152"/>
      <c r="Y369" s="149"/>
    </row>
    <row r="370" spans="3:25" s="151" customFormat="1" ht="12.75">
      <c r="C370" s="152"/>
      <c r="D370" s="152"/>
      <c r="E370" s="149"/>
      <c r="F370" s="152"/>
      <c r="G370" s="152"/>
      <c r="H370" s="152"/>
      <c r="I370" s="152"/>
      <c r="J370" s="156"/>
      <c r="K370" s="156"/>
      <c r="L370" s="156"/>
      <c r="M370" s="156"/>
      <c r="N370" s="156"/>
      <c r="O370" s="156"/>
      <c r="P370" s="156"/>
      <c r="Q370" s="152"/>
      <c r="R370" s="152"/>
      <c r="S370" s="152"/>
      <c r="T370" s="152"/>
      <c r="U370" s="152"/>
      <c r="V370" s="152"/>
      <c r="W370" s="152"/>
      <c r="X370" s="152"/>
      <c r="Y370" s="149"/>
    </row>
    <row r="371" spans="3:25" s="151" customFormat="1" ht="12.75">
      <c r="C371" s="152"/>
      <c r="D371" s="152"/>
      <c r="E371" s="149"/>
      <c r="F371" s="152"/>
      <c r="G371" s="152"/>
      <c r="H371" s="152"/>
      <c r="I371" s="152"/>
      <c r="J371" s="156"/>
      <c r="K371" s="156"/>
      <c r="L371" s="156"/>
      <c r="M371" s="156"/>
      <c r="N371" s="156"/>
      <c r="O371" s="156"/>
      <c r="P371" s="156"/>
      <c r="Q371" s="152"/>
      <c r="R371" s="152"/>
      <c r="S371" s="152"/>
      <c r="T371" s="152"/>
      <c r="U371" s="152"/>
      <c r="V371" s="152"/>
      <c r="W371" s="152"/>
      <c r="X371" s="152"/>
      <c r="Y371" s="149"/>
    </row>
    <row r="372" spans="3:25" s="151" customFormat="1" ht="12.75">
      <c r="C372" s="152"/>
      <c r="D372" s="152"/>
      <c r="E372" s="149"/>
      <c r="F372" s="152"/>
      <c r="G372" s="152"/>
      <c r="H372" s="152"/>
      <c r="I372" s="152"/>
      <c r="J372" s="156"/>
      <c r="K372" s="156"/>
      <c r="L372" s="156"/>
      <c r="M372" s="156"/>
      <c r="N372" s="156"/>
      <c r="O372" s="156"/>
      <c r="P372" s="156"/>
      <c r="Q372" s="152"/>
      <c r="R372" s="152"/>
      <c r="S372" s="152"/>
      <c r="T372" s="152"/>
      <c r="U372" s="152"/>
      <c r="V372" s="152"/>
      <c r="W372" s="152"/>
      <c r="X372" s="152"/>
      <c r="Y372" s="149"/>
    </row>
    <row r="373" spans="3:25" s="151" customFormat="1" ht="12.75">
      <c r="C373" s="152"/>
      <c r="D373" s="152"/>
      <c r="E373" s="149"/>
      <c r="F373" s="152"/>
      <c r="G373" s="152"/>
      <c r="H373" s="152"/>
      <c r="I373" s="152"/>
      <c r="J373" s="156"/>
      <c r="K373" s="156"/>
      <c r="L373" s="156"/>
      <c r="M373" s="156"/>
      <c r="N373" s="156"/>
      <c r="O373" s="156"/>
      <c r="P373" s="156"/>
      <c r="Q373" s="152"/>
      <c r="R373" s="152"/>
      <c r="S373" s="152"/>
      <c r="T373" s="152"/>
      <c r="U373" s="152"/>
      <c r="V373" s="152"/>
      <c r="W373" s="152"/>
      <c r="X373" s="152"/>
      <c r="Y373" s="149"/>
    </row>
    <row r="374" spans="3:25" s="151" customFormat="1" ht="12.75">
      <c r="C374" s="152"/>
      <c r="D374" s="152"/>
      <c r="E374" s="149"/>
      <c r="F374" s="152"/>
      <c r="G374" s="152"/>
      <c r="H374" s="152"/>
      <c r="I374" s="152"/>
      <c r="J374" s="156"/>
      <c r="K374" s="156"/>
      <c r="L374" s="156"/>
      <c r="M374" s="156"/>
      <c r="N374" s="156"/>
      <c r="O374" s="156"/>
      <c r="P374" s="156"/>
      <c r="Q374" s="152"/>
      <c r="R374" s="152"/>
      <c r="S374" s="152"/>
      <c r="T374" s="152"/>
      <c r="U374" s="152"/>
      <c r="V374" s="152"/>
      <c r="W374" s="152"/>
      <c r="X374" s="152"/>
      <c r="Y374" s="149"/>
    </row>
    <row r="375" spans="3:25" s="151" customFormat="1" ht="12.75">
      <c r="C375" s="152"/>
      <c r="D375" s="152"/>
      <c r="E375" s="149"/>
      <c r="F375" s="152"/>
      <c r="G375" s="152"/>
      <c r="H375" s="152"/>
      <c r="I375" s="152"/>
      <c r="J375" s="156"/>
      <c r="K375" s="156"/>
      <c r="L375" s="156"/>
      <c r="M375" s="156"/>
      <c r="N375" s="156"/>
      <c r="O375" s="156"/>
      <c r="P375" s="156"/>
      <c r="Q375" s="152"/>
      <c r="R375" s="152"/>
      <c r="S375" s="152"/>
      <c r="T375" s="152"/>
      <c r="U375" s="152"/>
      <c r="V375" s="152"/>
      <c r="W375" s="152"/>
      <c r="X375" s="152"/>
      <c r="Y375" s="149"/>
    </row>
    <row r="376" spans="3:25" s="151" customFormat="1" ht="12.75">
      <c r="C376" s="152"/>
      <c r="D376" s="152"/>
      <c r="E376" s="149"/>
      <c r="F376" s="152"/>
      <c r="G376" s="152"/>
      <c r="H376" s="152"/>
      <c r="I376" s="152"/>
      <c r="J376" s="156"/>
      <c r="K376" s="156"/>
      <c r="L376" s="156"/>
      <c r="M376" s="156"/>
      <c r="N376" s="156"/>
      <c r="O376" s="156"/>
      <c r="P376" s="156"/>
      <c r="Q376" s="152"/>
      <c r="R376" s="152"/>
      <c r="S376" s="152"/>
      <c r="T376" s="152"/>
      <c r="U376" s="152"/>
      <c r="V376" s="152"/>
      <c r="W376" s="152"/>
      <c r="X376" s="152"/>
      <c r="Y376" s="149"/>
    </row>
    <row r="377" spans="3:25" s="151" customFormat="1" ht="12.75">
      <c r="C377" s="152"/>
      <c r="D377" s="152"/>
      <c r="E377" s="149"/>
      <c r="F377" s="152"/>
      <c r="G377" s="152"/>
      <c r="H377" s="152"/>
      <c r="I377" s="152"/>
      <c r="J377" s="156"/>
      <c r="K377" s="156"/>
      <c r="L377" s="156"/>
      <c r="M377" s="156"/>
      <c r="N377" s="156"/>
      <c r="O377" s="156"/>
      <c r="P377" s="156"/>
      <c r="Q377" s="152"/>
      <c r="R377" s="152"/>
      <c r="S377" s="152"/>
      <c r="T377" s="152"/>
      <c r="U377" s="152"/>
      <c r="V377" s="152"/>
      <c r="W377" s="152"/>
      <c r="X377" s="152"/>
      <c r="Y377" s="149"/>
    </row>
    <row r="378" spans="3:25" s="151" customFormat="1" ht="12.75">
      <c r="C378" s="152"/>
      <c r="D378" s="152"/>
      <c r="E378" s="149"/>
      <c r="F378" s="152"/>
      <c r="G378" s="152"/>
      <c r="H378" s="152"/>
      <c r="I378" s="152"/>
      <c r="J378" s="156"/>
      <c r="K378" s="156"/>
      <c r="L378" s="156"/>
      <c r="M378" s="156"/>
      <c r="N378" s="156"/>
      <c r="O378" s="156"/>
      <c r="P378" s="156"/>
      <c r="Q378" s="152"/>
      <c r="R378" s="152"/>
      <c r="S378" s="152"/>
      <c r="T378" s="152"/>
      <c r="U378" s="152"/>
      <c r="V378" s="152"/>
      <c r="W378" s="152"/>
      <c r="X378" s="152"/>
      <c r="Y378" s="149"/>
    </row>
    <row r="379" spans="3:25" s="151" customFormat="1" ht="12.75">
      <c r="C379" s="152"/>
      <c r="D379" s="152"/>
      <c r="E379" s="149"/>
      <c r="F379" s="152"/>
      <c r="G379" s="152"/>
      <c r="H379" s="152"/>
      <c r="I379" s="152"/>
      <c r="J379" s="156"/>
      <c r="K379" s="156"/>
      <c r="L379" s="156"/>
      <c r="M379" s="156"/>
      <c r="N379" s="156"/>
      <c r="O379" s="156"/>
      <c r="P379" s="156"/>
      <c r="Q379" s="152"/>
      <c r="R379" s="152"/>
      <c r="S379" s="152"/>
      <c r="T379" s="152"/>
      <c r="U379" s="152"/>
      <c r="V379" s="152"/>
      <c r="W379" s="152"/>
      <c r="X379" s="152"/>
      <c r="Y379" s="149"/>
    </row>
    <row r="380" spans="3:25" s="151" customFormat="1" ht="12.75">
      <c r="C380" s="152"/>
      <c r="D380" s="152"/>
      <c r="E380" s="149"/>
      <c r="F380" s="152"/>
      <c r="G380" s="152"/>
      <c r="H380" s="152"/>
      <c r="I380" s="152"/>
      <c r="J380" s="156"/>
      <c r="K380" s="156"/>
      <c r="L380" s="156"/>
      <c r="M380" s="156"/>
      <c r="N380" s="156"/>
      <c r="O380" s="156"/>
      <c r="P380" s="156"/>
      <c r="Q380" s="152"/>
      <c r="R380" s="152"/>
      <c r="S380" s="152"/>
      <c r="T380" s="152"/>
      <c r="U380" s="152"/>
      <c r="V380" s="152"/>
      <c r="W380" s="152"/>
      <c r="X380" s="152"/>
      <c r="Y380" s="149"/>
    </row>
    <row r="381" spans="3:25" s="151" customFormat="1" ht="12.75">
      <c r="C381" s="152"/>
      <c r="D381" s="152"/>
      <c r="E381" s="149"/>
      <c r="F381" s="152"/>
      <c r="G381" s="152"/>
      <c r="H381" s="152"/>
      <c r="I381" s="152"/>
      <c r="J381" s="156"/>
      <c r="K381" s="156"/>
      <c r="L381" s="156"/>
      <c r="M381" s="156"/>
      <c r="N381" s="156"/>
      <c r="O381" s="156"/>
      <c r="P381" s="156"/>
      <c r="Q381" s="152"/>
      <c r="R381" s="152"/>
      <c r="S381" s="152"/>
      <c r="T381" s="152"/>
      <c r="U381" s="152"/>
      <c r="V381" s="152"/>
      <c r="W381" s="152"/>
      <c r="X381" s="152"/>
      <c r="Y381" s="149"/>
    </row>
    <row r="382" spans="3:25" s="151" customFormat="1" ht="12.75">
      <c r="C382" s="152"/>
      <c r="D382" s="152"/>
      <c r="E382" s="149"/>
      <c r="F382" s="152"/>
      <c r="G382" s="152"/>
      <c r="H382" s="152"/>
      <c r="I382" s="152"/>
      <c r="J382" s="156"/>
      <c r="K382" s="156"/>
      <c r="L382" s="156"/>
      <c r="M382" s="156"/>
      <c r="N382" s="156"/>
      <c r="O382" s="156"/>
      <c r="P382" s="156"/>
      <c r="Q382" s="152"/>
      <c r="R382" s="152"/>
      <c r="S382" s="152"/>
      <c r="T382" s="152"/>
      <c r="U382" s="152"/>
      <c r="V382" s="152"/>
      <c r="W382" s="152"/>
      <c r="X382" s="152"/>
      <c r="Y382" s="149"/>
    </row>
    <row r="383" spans="3:25" s="151" customFormat="1" ht="12.75">
      <c r="C383" s="152"/>
      <c r="D383" s="152"/>
      <c r="E383" s="149"/>
      <c r="F383" s="152"/>
      <c r="G383" s="152"/>
      <c r="H383" s="152"/>
      <c r="I383" s="152"/>
      <c r="J383" s="156"/>
      <c r="K383" s="156"/>
      <c r="L383" s="156"/>
      <c r="M383" s="156"/>
      <c r="N383" s="156"/>
      <c r="O383" s="156"/>
      <c r="P383" s="156"/>
      <c r="Q383" s="152"/>
      <c r="R383" s="152"/>
      <c r="S383" s="152"/>
      <c r="T383" s="152"/>
      <c r="U383" s="152"/>
      <c r="V383" s="152"/>
      <c r="W383" s="152"/>
      <c r="X383" s="152"/>
      <c r="Y383" s="149"/>
    </row>
    <row r="384" spans="3:25" s="151" customFormat="1" ht="12.75">
      <c r="C384" s="152"/>
      <c r="D384" s="152"/>
      <c r="E384" s="149"/>
      <c r="F384" s="152"/>
      <c r="G384" s="152"/>
      <c r="H384" s="152"/>
      <c r="I384" s="152"/>
      <c r="J384" s="156"/>
      <c r="K384" s="156"/>
      <c r="L384" s="156"/>
      <c r="M384" s="156"/>
      <c r="N384" s="156"/>
      <c r="O384" s="156"/>
      <c r="P384" s="156"/>
      <c r="Q384" s="152"/>
      <c r="R384" s="152"/>
      <c r="S384" s="152"/>
      <c r="T384" s="152"/>
      <c r="U384" s="152"/>
      <c r="V384" s="152"/>
      <c r="W384" s="152"/>
      <c r="X384" s="152"/>
      <c r="Y384" s="149"/>
    </row>
    <row r="385" spans="3:25" s="151" customFormat="1" ht="12.75">
      <c r="C385" s="152"/>
      <c r="D385" s="152"/>
      <c r="E385" s="149"/>
      <c r="F385" s="152"/>
      <c r="G385" s="152"/>
      <c r="H385" s="152"/>
      <c r="I385" s="152"/>
      <c r="J385" s="156"/>
      <c r="K385" s="156"/>
      <c r="L385" s="156"/>
      <c r="M385" s="156"/>
      <c r="N385" s="156"/>
      <c r="O385" s="156"/>
      <c r="P385" s="156"/>
      <c r="Q385" s="152"/>
      <c r="R385" s="152"/>
      <c r="S385" s="152"/>
      <c r="T385" s="152"/>
      <c r="U385" s="152"/>
      <c r="V385" s="152"/>
      <c r="W385" s="152"/>
      <c r="X385" s="152"/>
      <c r="Y385" s="149"/>
    </row>
    <row r="386" spans="3:25" s="151" customFormat="1" ht="12.75">
      <c r="C386" s="152"/>
      <c r="D386" s="152"/>
      <c r="E386" s="149"/>
      <c r="F386" s="152"/>
      <c r="G386" s="152"/>
      <c r="H386" s="152"/>
      <c r="I386" s="152"/>
      <c r="J386" s="156"/>
      <c r="K386" s="156"/>
      <c r="L386" s="156"/>
      <c r="M386" s="156"/>
      <c r="N386" s="156"/>
      <c r="O386" s="156"/>
      <c r="P386" s="156"/>
      <c r="Q386" s="152"/>
      <c r="R386" s="152"/>
      <c r="S386" s="152"/>
      <c r="T386" s="152"/>
      <c r="U386" s="152"/>
      <c r="V386" s="152"/>
      <c r="W386" s="152"/>
      <c r="X386" s="152"/>
      <c r="Y386" s="149"/>
    </row>
    <row r="387" spans="3:25" s="151" customFormat="1" ht="12.75">
      <c r="C387" s="152"/>
      <c r="D387" s="152"/>
      <c r="E387" s="149"/>
      <c r="F387" s="152"/>
      <c r="G387" s="152"/>
      <c r="H387" s="152"/>
      <c r="I387" s="152"/>
      <c r="J387" s="156"/>
      <c r="K387" s="156"/>
      <c r="L387" s="156"/>
      <c r="M387" s="156"/>
      <c r="N387" s="156"/>
      <c r="O387" s="156"/>
      <c r="P387" s="156"/>
      <c r="Q387" s="152"/>
      <c r="R387" s="152"/>
      <c r="S387" s="152"/>
      <c r="T387" s="152"/>
      <c r="U387" s="152"/>
      <c r="V387" s="152"/>
      <c r="W387" s="152"/>
      <c r="X387" s="152"/>
      <c r="Y387" s="149"/>
    </row>
    <row r="388" spans="3:25" s="151" customFormat="1" ht="12.75">
      <c r="C388" s="152"/>
      <c r="D388" s="152"/>
      <c r="E388" s="149"/>
      <c r="F388" s="152"/>
      <c r="G388" s="152"/>
      <c r="H388" s="152"/>
      <c r="I388" s="152"/>
      <c r="J388" s="156"/>
      <c r="K388" s="156"/>
      <c r="L388" s="156"/>
      <c r="M388" s="156"/>
      <c r="N388" s="156"/>
      <c r="O388" s="156"/>
      <c r="P388" s="156"/>
      <c r="Q388" s="152"/>
      <c r="R388" s="152"/>
      <c r="S388" s="152"/>
      <c r="T388" s="152"/>
      <c r="U388" s="152"/>
      <c r="V388" s="152"/>
      <c r="W388" s="152"/>
      <c r="X388" s="152"/>
      <c r="Y388" s="149"/>
    </row>
    <row r="389" spans="3:25" s="151" customFormat="1" ht="12.75">
      <c r="C389" s="152"/>
      <c r="D389" s="152"/>
      <c r="E389" s="149"/>
      <c r="F389" s="152"/>
      <c r="G389" s="152"/>
      <c r="H389" s="152"/>
      <c r="I389" s="152"/>
      <c r="J389" s="156"/>
      <c r="K389" s="156"/>
      <c r="L389" s="156"/>
      <c r="M389" s="156"/>
      <c r="N389" s="156"/>
      <c r="O389" s="156"/>
      <c r="P389" s="156"/>
      <c r="Q389" s="152"/>
      <c r="R389" s="152"/>
      <c r="S389" s="152"/>
      <c r="T389" s="152"/>
      <c r="U389" s="152"/>
      <c r="V389" s="152"/>
      <c r="W389" s="152"/>
      <c r="X389" s="152"/>
      <c r="Y389" s="149"/>
    </row>
    <row r="390" spans="3:25" s="151" customFormat="1" ht="12.75">
      <c r="C390" s="152"/>
      <c r="D390" s="152"/>
      <c r="E390" s="149"/>
      <c r="F390" s="152"/>
      <c r="G390" s="152"/>
      <c r="H390" s="152"/>
      <c r="I390" s="152"/>
      <c r="J390" s="156"/>
      <c r="K390" s="156"/>
      <c r="L390" s="156"/>
      <c r="M390" s="156"/>
      <c r="N390" s="156"/>
      <c r="O390" s="156"/>
      <c r="P390" s="156"/>
      <c r="Q390" s="152"/>
      <c r="R390" s="152"/>
      <c r="S390" s="152"/>
      <c r="T390" s="152"/>
      <c r="U390" s="152"/>
      <c r="V390" s="152"/>
      <c r="W390" s="152"/>
      <c r="X390" s="152"/>
      <c r="Y390" s="149"/>
    </row>
    <row r="391" spans="3:25" s="151" customFormat="1" ht="12.75">
      <c r="C391" s="152"/>
      <c r="D391" s="152"/>
      <c r="E391" s="149"/>
      <c r="F391" s="152"/>
      <c r="G391" s="152"/>
      <c r="H391" s="152"/>
      <c r="I391" s="152"/>
      <c r="J391" s="156"/>
      <c r="K391" s="156"/>
      <c r="L391" s="156"/>
      <c r="M391" s="156"/>
      <c r="N391" s="156"/>
      <c r="O391" s="156"/>
      <c r="P391" s="156"/>
      <c r="Q391" s="152"/>
      <c r="R391" s="152"/>
      <c r="S391" s="152"/>
      <c r="T391" s="152"/>
      <c r="U391" s="152"/>
      <c r="V391" s="152"/>
      <c r="W391" s="152"/>
      <c r="X391" s="152"/>
      <c r="Y391" s="149"/>
    </row>
    <row r="392" spans="3:25" s="151" customFormat="1" ht="12.75">
      <c r="C392" s="152"/>
      <c r="D392" s="152"/>
      <c r="E392" s="149"/>
      <c r="F392" s="152"/>
      <c r="G392" s="152"/>
      <c r="H392" s="152"/>
      <c r="I392" s="152"/>
      <c r="J392" s="156"/>
      <c r="K392" s="156"/>
      <c r="L392" s="156"/>
      <c r="M392" s="156"/>
      <c r="N392" s="156"/>
      <c r="O392" s="156"/>
      <c r="P392" s="156"/>
      <c r="Q392" s="152"/>
      <c r="R392" s="152"/>
      <c r="S392" s="152"/>
      <c r="T392" s="152"/>
      <c r="U392" s="152"/>
      <c r="V392" s="152"/>
      <c r="W392" s="152"/>
      <c r="X392" s="152"/>
      <c r="Y392" s="149"/>
    </row>
    <row r="393" spans="3:25" s="151" customFormat="1" ht="12.75">
      <c r="C393" s="152"/>
      <c r="D393" s="152"/>
      <c r="E393" s="149"/>
      <c r="F393" s="152"/>
      <c r="G393" s="152"/>
      <c r="H393" s="152"/>
      <c r="I393" s="152"/>
      <c r="J393" s="156"/>
      <c r="K393" s="156"/>
      <c r="L393" s="156"/>
      <c r="M393" s="156"/>
      <c r="N393" s="156"/>
      <c r="O393" s="156"/>
      <c r="P393" s="156"/>
      <c r="Q393" s="152"/>
      <c r="R393" s="152"/>
      <c r="S393" s="152"/>
      <c r="T393" s="152"/>
      <c r="U393" s="152"/>
      <c r="V393" s="152"/>
      <c r="W393" s="152"/>
      <c r="X393" s="152"/>
      <c r="Y393" s="149"/>
    </row>
    <row r="394" spans="3:25" s="151" customFormat="1" ht="12.75">
      <c r="C394" s="152"/>
      <c r="D394" s="152"/>
      <c r="E394" s="149"/>
      <c r="F394" s="152"/>
      <c r="G394" s="152"/>
      <c r="H394" s="152"/>
      <c r="I394" s="152"/>
      <c r="J394" s="156"/>
      <c r="K394" s="156"/>
      <c r="L394" s="156"/>
      <c r="M394" s="156"/>
      <c r="N394" s="156"/>
      <c r="O394" s="156"/>
      <c r="P394" s="156"/>
      <c r="Q394" s="152"/>
      <c r="R394" s="152"/>
      <c r="S394" s="152"/>
      <c r="T394" s="152"/>
      <c r="U394" s="152"/>
      <c r="V394" s="152"/>
      <c r="W394" s="152"/>
      <c r="X394" s="152"/>
      <c r="Y394" s="149"/>
    </row>
    <row r="395" spans="3:25" s="151" customFormat="1" ht="12.75">
      <c r="C395" s="152"/>
      <c r="D395" s="152"/>
      <c r="E395" s="149"/>
      <c r="F395" s="152"/>
      <c r="G395" s="152"/>
      <c r="H395" s="152"/>
      <c r="I395" s="152"/>
      <c r="J395" s="156"/>
      <c r="K395" s="156"/>
      <c r="L395" s="156"/>
      <c r="M395" s="156"/>
      <c r="N395" s="156"/>
      <c r="O395" s="156"/>
      <c r="P395" s="156"/>
      <c r="Q395" s="152"/>
      <c r="R395" s="152"/>
      <c r="S395" s="152"/>
      <c r="T395" s="152"/>
      <c r="U395" s="152"/>
      <c r="V395" s="152"/>
      <c r="W395" s="152"/>
      <c r="X395" s="152"/>
      <c r="Y395" s="149"/>
    </row>
    <row r="396" spans="3:25" s="151" customFormat="1" ht="12.75">
      <c r="C396" s="152"/>
      <c r="D396" s="152"/>
      <c r="E396" s="149"/>
      <c r="F396" s="152"/>
      <c r="G396" s="152"/>
      <c r="H396" s="152"/>
      <c r="I396" s="152"/>
      <c r="J396" s="156"/>
      <c r="K396" s="156"/>
      <c r="L396" s="156"/>
      <c r="M396" s="156"/>
      <c r="N396" s="156"/>
      <c r="O396" s="156"/>
      <c r="P396" s="156"/>
      <c r="Q396" s="152"/>
      <c r="R396" s="152"/>
      <c r="S396" s="152"/>
      <c r="T396" s="152"/>
      <c r="U396" s="152"/>
      <c r="V396" s="152"/>
      <c r="W396" s="152"/>
      <c r="X396" s="152"/>
      <c r="Y396" s="149"/>
    </row>
    <row r="397" spans="3:25" s="151" customFormat="1" ht="12.75">
      <c r="C397" s="152"/>
      <c r="D397" s="152"/>
      <c r="E397" s="149"/>
      <c r="F397" s="152"/>
      <c r="G397" s="152"/>
      <c r="H397" s="152"/>
      <c r="I397" s="152"/>
      <c r="J397" s="156"/>
      <c r="K397" s="156"/>
      <c r="L397" s="156"/>
      <c r="M397" s="156"/>
      <c r="N397" s="156"/>
      <c r="O397" s="156"/>
      <c r="P397" s="156"/>
      <c r="Q397" s="152"/>
      <c r="R397" s="152"/>
      <c r="S397" s="152"/>
      <c r="T397" s="152"/>
      <c r="U397" s="152"/>
      <c r="V397" s="152"/>
      <c r="W397" s="152"/>
      <c r="X397" s="152"/>
      <c r="Y397" s="149"/>
    </row>
    <row r="398" spans="3:25" s="151" customFormat="1" ht="12.75">
      <c r="C398" s="152"/>
      <c r="D398" s="152"/>
      <c r="E398" s="149"/>
      <c r="F398" s="152"/>
      <c r="G398" s="152"/>
      <c r="H398" s="152"/>
      <c r="I398" s="152"/>
      <c r="J398" s="156"/>
      <c r="K398" s="156"/>
      <c r="L398" s="156"/>
      <c r="M398" s="156"/>
      <c r="N398" s="156"/>
      <c r="O398" s="156"/>
      <c r="P398" s="156"/>
      <c r="Q398" s="152"/>
      <c r="R398" s="152"/>
      <c r="S398" s="152"/>
      <c r="T398" s="152"/>
      <c r="U398" s="152"/>
      <c r="V398" s="152"/>
      <c r="W398" s="152"/>
      <c r="X398" s="152"/>
      <c r="Y398" s="149"/>
    </row>
    <row r="399" spans="3:25" s="151" customFormat="1" ht="12.75">
      <c r="C399" s="152"/>
      <c r="D399" s="152"/>
      <c r="E399" s="149"/>
      <c r="F399" s="152"/>
      <c r="G399" s="152"/>
      <c r="H399" s="152"/>
      <c r="I399" s="152"/>
      <c r="J399" s="156"/>
      <c r="K399" s="156"/>
      <c r="L399" s="156"/>
      <c r="M399" s="156"/>
      <c r="N399" s="156"/>
      <c r="O399" s="156"/>
      <c r="P399" s="156"/>
      <c r="Q399" s="152"/>
      <c r="R399" s="152"/>
      <c r="S399" s="152"/>
      <c r="T399" s="152"/>
      <c r="U399" s="152"/>
      <c r="V399" s="152"/>
      <c r="W399" s="152"/>
      <c r="X399" s="152"/>
      <c r="Y399" s="149"/>
    </row>
    <row r="400" spans="3:25" s="151" customFormat="1" ht="12.75">
      <c r="C400" s="152"/>
      <c r="D400" s="152"/>
      <c r="E400" s="149"/>
      <c r="F400" s="152"/>
      <c r="G400" s="152"/>
      <c r="H400" s="152"/>
      <c r="I400" s="152"/>
      <c r="J400" s="156"/>
      <c r="K400" s="156"/>
      <c r="L400" s="156"/>
      <c r="M400" s="156"/>
      <c r="N400" s="156"/>
      <c r="O400" s="156"/>
      <c r="P400" s="156"/>
      <c r="Q400" s="152"/>
      <c r="R400" s="152"/>
      <c r="S400" s="152"/>
      <c r="T400" s="152"/>
      <c r="U400" s="152"/>
      <c r="V400" s="152"/>
      <c r="W400" s="152"/>
      <c r="X400" s="152"/>
      <c r="Y400" s="149"/>
    </row>
    <row r="401" spans="3:25" s="151" customFormat="1" ht="12.75">
      <c r="C401" s="152"/>
      <c r="D401" s="152"/>
      <c r="E401" s="149"/>
      <c r="F401" s="152"/>
      <c r="G401" s="152"/>
      <c r="H401" s="152"/>
      <c r="I401" s="152"/>
      <c r="J401" s="156"/>
      <c r="K401" s="156"/>
      <c r="L401" s="156"/>
      <c r="M401" s="156"/>
      <c r="N401" s="156"/>
      <c r="O401" s="156"/>
      <c r="P401" s="156"/>
      <c r="Q401" s="152"/>
      <c r="R401" s="152"/>
      <c r="S401" s="152"/>
      <c r="T401" s="152"/>
      <c r="U401" s="152"/>
      <c r="V401" s="152"/>
      <c r="W401" s="152"/>
      <c r="X401" s="152"/>
      <c r="Y401" s="149"/>
    </row>
    <row r="402" spans="3:25" s="151" customFormat="1" ht="12.75">
      <c r="C402" s="152"/>
      <c r="D402" s="152"/>
      <c r="E402" s="149"/>
      <c r="F402" s="152"/>
      <c r="G402" s="152"/>
      <c r="H402" s="152"/>
      <c r="I402" s="152"/>
      <c r="J402" s="156"/>
      <c r="K402" s="156"/>
      <c r="L402" s="156"/>
      <c r="M402" s="156"/>
      <c r="N402" s="156"/>
      <c r="O402" s="156"/>
      <c r="P402" s="156"/>
      <c r="Q402" s="152"/>
      <c r="R402" s="152"/>
      <c r="S402" s="152"/>
      <c r="T402" s="152"/>
      <c r="U402" s="152"/>
      <c r="V402" s="152"/>
      <c r="W402" s="152"/>
      <c r="X402" s="152"/>
      <c r="Y402" s="149"/>
    </row>
    <row r="403" spans="3:25" s="151" customFormat="1" ht="12.75">
      <c r="C403" s="152"/>
      <c r="D403" s="152"/>
      <c r="E403" s="149"/>
      <c r="F403" s="152"/>
      <c r="G403" s="152"/>
      <c r="H403" s="152"/>
      <c r="I403" s="152"/>
      <c r="J403" s="156"/>
      <c r="K403" s="156"/>
      <c r="L403" s="156"/>
      <c r="M403" s="156"/>
      <c r="N403" s="156"/>
      <c r="O403" s="156"/>
      <c r="P403" s="156"/>
      <c r="Q403" s="152"/>
      <c r="R403" s="152"/>
      <c r="S403" s="152"/>
      <c r="T403" s="152"/>
      <c r="U403" s="152"/>
      <c r="V403" s="152"/>
      <c r="W403" s="152"/>
      <c r="X403" s="152"/>
      <c r="Y403" s="149"/>
    </row>
    <row r="404" spans="3:25" s="151" customFormat="1" ht="12.75">
      <c r="C404" s="152"/>
      <c r="D404" s="152"/>
      <c r="E404" s="149"/>
      <c r="F404" s="152"/>
      <c r="G404" s="152"/>
      <c r="H404" s="152"/>
      <c r="I404" s="152"/>
      <c r="J404" s="156"/>
      <c r="K404" s="156"/>
      <c r="L404" s="156"/>
      <c r="M404" s="156"/>
      <c r="N404" s="156"/>
      <c r="O404" s="156"/>
      <c r="P404" s="156"/>
      <c r="Q404" s="152"/>
      <c r="R404" s="152"/>
      <c r="S404" s="152"/>
      <c r="T404" s="152"/>
      <c r="U404" s="152"/>
      <c r="V404" s="152"/>
      <c r="W404" s="152"/>
      <c r="X404" s="152"/>
      <c r="Y404" s="149"/>
    </row>
    <row r="405" spans="3:25" s="151" customFormat="1" ht="12.75">
      <c r="C405" s="152"/>
      <c r="D405" s="152"/>
      <c r="E405" s="149"/>
      <c r="F405" s="152"/>
      <c r="G405" s="152"/>
      <c r="H405" s="152"/>
      <c r="I405" s="152"/>
      <c r="J405" s="156"/>
      <c r="K405" s="156"/>
      <c r="L405" s="156"/>
      <c r="M405" s="156"/>
      <c r="N405" s="156"/>
      <c r="O405" s="156"/>
      <c r="P405" s="156"/>
      <c r="Q405" s="152"/>
      <c r="R405" s="152"/>
      <c r="S405" s="152"/>
      <c r="T405" s="152"/>
      <c r="U405" s="152"/>
      <c r="V405" s="152"/>
      <c r="W405" s="152"/>
      <c r="X405" s="152"/>
      <c r="Y405" s="149"/>
    </row>
    <row r="406" spans="3:25" s="151" customFormat="1" ht="12.75">
      <c r="C406" s="152"/>
      <c r="D406" s="152"/>
      <c r="E406" s="149"/>
      <c r="F406" s="152"/>
      <c r="G406" s="152"/>
      <c r="H406" s="152"/>
      <c r="I406" s="152"/>
      <c r="J406" s="156"/>
      <c r="K406" s="156"/>
      <c r="L406" s="156"/>
      <c r="M406" s="156"/>
      <c r="N406" s="156"/>
      <c r="O406" s="156"/>
      <c r="P406" s="156"/>
      <c r="Q406" s="152"/>
      <c r="R406" s="152"/>
      <c r="S406" s="152"/>
      <c r="T406" s="152"/>
      <c r="U406" s="152"/>
      <c r="V406" s="152"/>
      <c r="W406" s="152"/>
      <c r="X406" s="152"/>
      <c r="Y406" s="149"/>
    </row>
    <row r="407" spans="3:25" s="151" customFormat="1" ht="12.75">
      <c r="C407" s="152"/>
      <c r="D407" s="152"/>
      <c r="E407" s="149"/>
      <c r="F407" s="152"/>
      <c r="G407" s="152"/>
      <c r="H407" s="152"/>
      <c r="I407" s="152"/>
      <c r="J407" s="156"/>
      <c r="K407" s="156"/>
      <c r="L407" s="156"/>
      <c r="M407" s="156"/>
      <c r="N407" s="156"/>
      <c r="O407" s="156"/>
      <c r="P407" s="156"/>
      <c r="Q407" s="152"/>
      <c r="R407" s="152"/>
      <c r="S407" s="152"/>
      <c r="T407" s="152"/>
      <c r="U407" s="152"/>
      <c r="V407" s="152"/>
      <c r="W407" s="152"/>
      <c r="X407" s="152"/>
      <c r="Y407" s="149"/>
    </row>
    <row r="408" spans="3:25" s="151" customFormat="1" ht="12.75">
      <c r="C408" s="152"/>
      <c r="D408" s="152"/>
      <c r="E408" s="149"/>
      <c r="F408" s="152"/>
      <c r="G408" s="152"/>
      <c r="H408" s="152"/>
      <c r="I408" s="152"/>
      <c r="J408" s="156"/>
      <c r="K408" s="156"/>
      <c r="L408" s="156"/>
      <c r="M408" s="156"/>
      <c r="N408" s="156"/>
      <c r="O408" s="156"/>
      <c r="P408" s="156"/>
      <c r="Q408" s="152"/>
      <c r="R408" s="152"/>
      <c r="S408" s="152"/>
      <c r="T408" s="152"/>
      <c r="U408" s="152"/>
      <c r="V408" s="152"/>
      <c r="W408" s="152"/>
      <c r="X408" s="152"/>
      <c r="Y408" s="149"/>
    </row>
    <row r="409" spans="3:25" s="151" customFormat="1" ht="12.75">
      <c r="C409" s="152"/>
      <c r="D409" s="152"/>
      <c r="E409" s="149"/>
      <c r="F409" s="152"/>
      <c r="G409" s="152"/>
      <c r="H409" s="152"/>
      <c r="I409" s="152"/>
      <c r="J409" s="156"/>
      <c r="K409" s="156"/>
      <c r="L409" s="156"/>
      <c r="M409" s="156"/>
      <c r="N409" s="156"/>
      <c r="O409" s="156"/>
      <c r="P409" s="156"/>
      <c r="Q409" s="152"/>
      <c r="R409" s="152"/>
      <c r="S409" s="152"/>
      <c r="T409" s="152"/>
      <c r="U409" s="152"/>
      <c r="V409" s="152"/>
      <c r="W409" s="152"/>
      <c r="X409" s="152"/>
      <c r="Y409" s="149"/>
    </row>
    <row r="410" spans="3:25" s="151" customFormat="1" ht="12.75">
      <c r="C410" s="152"/>
      <c r="D410" s="152"/>
      <c r="E410" s="149"/>
      <c r="F410" s="152"/>
      <c r="G410" s="152"/>
      <c r="H410" s="152"/>
      <c r="I410" s="152"/>
      <c r="J410" s="156"/>
      <c r="K410" s="156"/>
      <c r="L410" s="156"/>
      <c r="M410" s="156"/>
      <c r="N410" s="156"/>
      <c r="O410" s="156"/>
      <c r="P410" s="156"/>
      <c r="Q410" s="152"/>
      <c r="R410" s="152"/>
      <c r="S410" s="152"/>
      <c r="T410" s="152"/>
      <c r="U410" s="152"/>
      <c r="V410" s="152"/>
      <c r="W410" s="152"/>
      <c r="X410" s="152"/>
      <c r="Y410" s="149"/>
    </row>
    <row r="411" spans="3:25" s="151" customFormat="1" ht="12.75">
      <c r="C411" s="152"/>
      <c r="D411" s="152"/>
      <c r="E411" s="149"/>
      <c r="F411" s="152"/>
      <c r="G411" s="152"/>
      <c r="H411" s="152"/>
      <c r="I411" s="152"/>
      <c r="J411" s="156"/>
      <c r="K411" s="156"/>
      <c r="L411" s="156"/>
      <c r="M411" s="156"/>
      <c r="N411" s="156"/>
      <c r="O411" s="156"/>
      <c r="P411" s="156"/>
      <c r="Q411" s="152"/>
      <c r="R411" s="152"/>
      <c r="S411" s="152"/>
      <c r="T411" s="152"/>
      <c r="U411" s="152"/>
      <c r="V411" s="152"/>
      <c r="W411" s="152"/>
      <c r="X411" s="152"/>
      <c r="Y411" s="149"/>
    </row>
    <row r="412" spans="3:25" s="151" customFormat="1" ht="12.75">
      <c r="C412" s="152"/>
      <c r="D412" s="152"/>
      <c r="E412" s="149"/>
      <c r="F412" s="152"/>
      <c r="G412" s="152"/>
      <c r="H412" s="152"/>
      <c r="I412" s="152"/>
      <c r="J412" s="156"/>
      <c r="K412" s="156"/>
      <c r="L412" s="156"/>
      <c r="M412" s="156"/>
      <c r="N412" s="156"/>
      <c r="O412" s="156"/>
      <c r="P412" s="156"/>
      <c r="Q412" s="152"/>
      <c r="R412" s="152"/>
      <c r="S412" s="152"/>
      <c r="T412" s="152"/>
      <c r="U412" s="152"/>
      <c r="V412" s="152"/>
      <c r="W412" s="152"/>
      <c r="X412" s="152"/>
      <c r="Y412" s="149"/>
    </row>
    <row r="413" spans="3:25" s="151" customFormat="1" ht="12.75">
      <c r="C413" s="152"/>
      <c r="D413" s="152"/>
      <c r="E413" s="149"/>
      <c r="F413" s="152"/>
      <c r="G413" s="152"/>
      <c r="H413" s="152"/>
      <c r="I413" s="152"/>
      <c r="J413" s="156"/>
      <c r="K413" s="156"/>
      <c r="L413" s="156"/>
      <c r="M413" s="156"/>
      <c r="N413" s="156"/>
      <c r="O413" s="156"/>
      <c r="P413" s="156"/>
      <c r="Q413" s="152"/>
      <c r="R413" s="152"/>
      <c r="S413" s="152"/>
      <c r="T413" s="152"/>
      <c r="U413" s="152"/>
      <c r="V413" s="152"/>
      <c r="W413" s="152"/>
      <c r="X413" s="152"/>
      <c r="Y413" s="149"/>
    </row>
    <row r="414" spans="3:25" s="151" customFormat="1" ht="12.75">
      <c r="C414" s="152"/>
      <c r="D414" s="152"/>
      <c r="E414" s="149"/>
      <c r="F414" s="152"/>
      <c r="G414" s="152"/>
      <c r="H414" s="152"/>
      <c r="I414" s="152"/>
      <c r="J414" s="156"/>
      <c r="K414" s="156"/>
      <c r="L414" s="156"/>
      <c r="M414" s="156"/>
      <c r="N414" s="156"/>
      <c r="O414" s="156"/>
      <c r="P414" s="156"/>
      <c r="Q414" s="152"/>
      <c r="R414" s="152"/>
      <c r="S414" s="152"/>
      <c r="T414" s="152"/>
      <c r="U414" s="152"/>
      <c r="V414" s="152"/>
      <c r="W414" s="152"/>
      <c r="X414" s="152"/>
      <c r="Y414" s="149"/>
    </row>
    <row r="415" spans="3:25" s="151" customFormat="1" ht="12.75">
      <c r="C415" s="152"/>
      <c r="D415" s="152"/>
      <c r="E415" s="149"/>
      <c r="F415" s="152"/>
      <c r="G415" s="152"/>
      <c r="H415" s="152"/>
      <c r="I415" s="152"/>
      <c r="J415" s="156"/>
      <c r="K415" s="156"/>
      <c r="L415" s="156"/>
      <c r="M415" s="156"/>
      <c r="N415" s="156"/>
      <c r="O415" s="156"/>
      <c r="P415" s="156"/>
      <c r="Q415" s="152"/>
      <c r="R415" s="152"/>
      <c r="S415" s="152"/>
      <c r="T415" s="152"/>
      <c r="U415" s="152"/>
      <c r="V415" s="152"/>
      <c r="W415" s="152"/>
      <c r="X415" s="152"/>
      <c r="Y415" s="149"/>
    </row>
    <row r="416" spans="3:25" s="151" customFormat="1" ht="12.75">
      <c r="C416" s="152"/>
      <c r="D416" s="152"/>
      <c r="E416" s="149"/>
      <c r="F416" s="152"/>
      <c r="G416" s="152"/>
      <c r="H416" s="152"/>
      <c r="I416" s="152"/>
      <c r="J416" s="156"/>
      <c r="K416" s="156"/>
      <c r="L416" s="156"/>
      <c r="M416" s="156"/>
      <c r="N416" s="156"/>
      <c r="O416" s="156"/>
      <c r="P416" s="156"/>
      <c r="Q416" s="152"/>
      <c r="R416" s="152"/>
      <c r="S416" s="152"/>
      <c r="T416" s="152"/>
      <c r="U416" s="152"/>
      <c r="V416" s="152"/>
      <c r="W416" s="152"/>
      <c r="X416" s="152"/>
      <c r="Y416" s="149"/>
    </row>
    <row r="417" spans="3:25" s="151" customFormat="1" ht="12.75">
      <c r="C417" s="152"/>
      <c r="D417" s="152"/>
      <c r="E417" s="149"/>
      <c r="F417" s="152"/>
      <c r="G417" s="152"/>
      <c r="H417" s="152"/>
      <c r="I417" s="152"/>
      <c r="J417" s="156"/>
      <c r="K417" s="156"/>
      <c r="L417" s="156"/>
      <c r="M417" s="156"/>
      <c r="N417" s="156"/>
      <c r="O417" s="156"/>
      <c r="P417" s="156"/>
      <c r="Q417" s="152"/>
      <c r="R417" s="152"/>
      <c r="S417" s="152"/>
      <c r="T417" s="152"/>
      <c r="U417" s="152"/>
      <c r="V417" s="152"/>
      <c r="W417" s="152"/>
      <c r="X417" s="152"/>
      <c r="Y417" s="149"/>
    </row>
    <row r="418" spans="3:25" s="151" customFormat="1" ht="12.75">
      <c r="C418" s="152"/>
      <c r="D418" s="152"/>
      <c r="E418" s="149"/>
      <c r="F418" s="152"/>
      <c r="G418" s="152"/>
      <c r="H418" s="152"/>
      <c r="I418" s="152"/>
      <c r="J418" s="156"/>
      <c r="K418" s="156"/>
      <c r="L418" s="156"/>
      <c r="M418" s="156"/>
      <c r="N418" s="156"/>
      <c r="O418" s="156"/>
      <c r="P418" s="156"/>
      <c r="Q418" s="152"/>
      <c r="R418" s="152"/>
      <c r="S418" s="152"/>
      <c r="T418" s="152"/>
      <c r="U418" s="152"/>
      <c r="V418" s="152"/>
      <c r="W418" s="152"/>
      <c r="X418" s="152"/>
      <c r="Y418" s="149"/>
    </row>
    <row r="419" spans="3:25" s="151" customFormat="1" ht="12.75">
      <c r="C419" s="152"/>
      <c r="D419" s="152"/>
      <c r="E419" s="149"/>
      <c r="F419" s="152"/>
      <c r="G419" s="152"/>
      <c r="H419" s="152"/>
      <c r="I419" s="152"/>
      <c r="J419" s="156"/>
      <c r="K419" s="156"/>
      <c r="L419" s="156"/>
      <c r="M419" s="156"/>
      <c r="N419" s="156"/>
      <c r="O419" s="156"/>
      <c r="P419" s="156"/>
      <c r="Q419" s="152"/>
      <c r="R419" s="152"/>
      <c r="S419" s="152"/>
      <c r="T419" s="152"/>
      <c r="U419" s="152"/>
      <c r="V419" s="152"/>
      <c r="W419" s="152"/>
      <c r="X419" s="152"/>
      <c r="Y419" s="149"/>
    </row>
    <row r="420" spans="3:25" s="151" customFormat="1" ht="12.75">
      <c r="C420" s="152"/>
      <c r="D420" s="152"/>
      <c r="E420" s="149"/>
      <c r="F420" s="152"/>
      <c r="G420" s="152"/>
      <c r="H420" s="152"/>
      <c r="I420" s="152"/>
      <c r="J420" s="156"/>
      <c r="K420" s="156"/>
      <c r="L420" s="156"/>
      <c r="M420" s="156"/>
      <c r="N420" s="156"/>
      <c r="O420" s="156"/>
      <c r="P420" s="156"/>
      <c r="Q420" s="152"/>
      <c r="R420" s="152"/>
      <c r="S420" s="152"/>
      <c r="T420" s="152"/>
      <c r="U420" s="152"/>
      <c r="V420" s="152"/>
      <c r="W420" s="152"/>
      <c r="X420" s="152"/>
      <c r="Y420" s="149"/>
    </row>
    <row r="421" spans="3:25" s="151" customFormat="1" ht="12.75">
      <c r="C421" s="152"/>
      <c r="D421" s="152"/>
      <c r="E421" s="149"/>
      <c r="F421" s="152"/>
      <c r="G421" s="152"/>
      <c r="H421" s="152"/>
      <c r="I421" s="152"/>
      <c r="J421" s="156"/>
      <c r="K421" s="156"/>
      <c r="L421" s="156"/>
      <c r="M421" s="156"/>
      <c r="N421" s="156"/>
      <c r="O421" s="156"/>
      <c r="P421" s="156"/>
      <c r="Q421" s="152"/>
      <c r="R421" s="152"/>
      <c r="S421" s="152"/>
      <c r="T421" s="152"/>
      <c r="U421" s="152"/>
      <c r="V421" s="152"/>
      <c r="W421" s="152"/>
      <c r="X421" s="152"/>
      <c r="Y421" s="149"/>
    </row>
    <row r="422" spans="3:25" s="151" customFormat="1" ht="12.75">
      <c r="C422" s="152"/>
      <c r="D422" s="152"/>
      <c r="E422" s="149"/>
      <c r="F422" s="152"/>
      <c r="G422" s="152"/>
      <c r="H422" s="152"/>
      <c r="I422" s="152"/>
      <c r="J422" s="156"/>
      <c r="K422" s="156"/>
      <c r="L422" s="156"/>
      <c r="M422" s="156"/>
      <c r="N422" s="156"/>
      <c r="O422" s="156"/>
      <c r="P422" s="156"/>
      <c r="Q422" s="152"/>
      <c r="R422" s="152"/>
      <c r="S422" s="152"/>
      <c r="T422" s="152"/>
      <c r="U422" s="152"/>
      <c r="V422" s="152"/>
      <c r="W422" s="152"/>
      <c r="X422" s="152"/>
      <c r="Y422" s="149"/>
    </row>
    <row r="423" spans="3:25" s="151" customFormat="1" ht="12.75">
      <c r="C423" s="152"/>
      <c r="D423" s="152"/>
      <c r="E423" s="149"/>
      <c r="F423" s="152"/>
      <c r="G423" s="152"/>
      <c r="H423" s="152"/>
      <c r="I423" s="152"/>
      <c r="J423" s="156"/>
      <c r="K423" s="156"/>
      <c r="L423" s="156"/>
      <c r="M423" s="156"/>
      <c r="N423" s="156"/>
      <c r="O423" s="156"/>
      <c r="P423" s="156"/>
      <c r="Q423" s="152"/>
      <c r="R423" s="152"/>
      <c r="S423" s="152"/>
      <c r="T423" s="152"/>
      <c r="U423" s="152"/>
      <c r="V423" s="152"/>
      <c r="W423" s="152"/>
      <c r="X423" s="152"/>
      <c r="Y423" s="149"/>
    </row>
    <row r="424" spans="3:25" s="151" customFormat="1" ht="12.75">
      <c r="C424" s="152"/>
      <c r="D424" s="152"/>
      <c r="E424" s="149"/>
      <c r="F424" s="152"/>
      <c r="G424" s="152"/>
      <c r="H424" s="152"/>
      <c r="I424" s="152"/>
      <c r="J424" s="156"/>
      <c r="K424" s="156"/>
      <c r="L424" s="156"/>
      <c r="M424" s="156"/>
      <c r="N424" s="156"/>
      <c r="O424" s="156"/>
      <c r="P424" s="156"/>
      <c r="Q424" s="152"/>
      <c r="R424" s="152"/>
      <c r="S424" s="152"/>
      <c r="T424" s="152"/>
      <c r="U424" s="152"/>
      <c r="V424" s="152"/>
      <c r="W424" s="152"/>
      <c r="X424" s="152"/>
      <c r="Y424" s="149"/>
    </row>
    <row r="425" spans="3:25" s="151" customFormat="1" ht="12.75">
      <c r="C425" s="152"/>
      <c r="D425" s="152"/>
      <c r="E425" s="149"/>
      <c r="F425" s="152"/>
      <c r="G425" s="152"/>
      <c r="H425" s="152"/>
      <c r="I425" s="152"/>
      <c r="J425" s="156"/>
      <c r="K425" s="156"/>
      <c r="L425" s="156"/>
      <c r="M425" s="156"/>
      <c r="N425" s="156"/>
      <c r="O425" s="156"/>
      <c r="P425" s="156"/>
      <c r="Q425" s="152"/>
      <c r="R425" s="152"/>
      <c r="S425" s="152"/>
      <c r="T425" s="152"/>
      <c r="U425" s="152"/>
      <c r="V425" s="152"/>
      <c r="W425" s="152"/>
      <c r="X425" s="152"/>
      <c r="Y425" s="149"/>
    </row>
    <row r="426" spans="3:25" s="151" customFormat="1" ht="12.75">
      <c r="C426" s="152"/>
      <c r="D426" s="152"/>
      <c r="E426" s="149"/>
      <c r="F426" s="152"/>
      <c r="G426" s="152"/>
      <c r="H426" s="152"/>
      <c r="I426" s="152"/>
      <c r="J426" s="156"/>
      <c r="K426" s="156"/>
      <c r="L426" s="156"/>
      <c r="M426" s="156"/>
      <c r="N426" s="156"/>
      <c r="O426" s="156"/>
      <c r="P426" s="156"/>
      <c r="Q426" s="152"/>
      <c r="R426" s="152"/>
      <c r="S426" s="152"/>
      <c r="T426" s="152"/>
      <c r="U426" s="152"/>
      <c r="V426" s="152"/>
      <c r="W426" s="152"/>
      <c r="X426" s="152"/>
      <c r="Y426" s="149"/>
    </row>
    <row r="427" spans="3:25" s="151" customFormat="1" ht="12.75">
      <c r="C427" s="152"/>
      <c r="D427" s="152"/>
      <c r="E427" s="149"/>
      <c r="F427" s="152"/>
      <c r="G427" s="152"/>
      <c r="H427" s="152"/>
      <c r="I427" s="152"/>
      <c r="J427" s="156"/>
      <c r="K427" s="156"/>
      <c r="L427" s="156"/>
      <c r="M427" s="156"/>
      <c r="N427" s="156"/>
      <c r="O427" s="156"/>
      <c r="P427" s="156"/>
      <c r="Q427" s="152"/>
      <c r="R427" s="152"/>
      <c r="S427" s="152"/>
      <c r="T427" s="152"/>
      <c r="U427" s="152"/>
      <c r="V427" s="152"/>
      <c r="W427" s="152"/>
      <c r="X427" s="152"/>
      <c r="Y427" s="149"/>
    </row>
    <row r="428" spans="3:25" s="151" customFormat="1" ht="12.75">
      <c r="C428" s="152"/>
      <c r="D428" s="152"/>
      <c r="E428" s="149"/>
      <c r="F428" s="152"/>
      <c r="G428" s="152"/>
      <c r="H428" s="152"/>
      <c r="I428" s="152"/>
      <c r="J428" s="156"/>
      <c r="K428" s="156"/>
      <c r="L428" s="156"/>
      <c r="M428" s="156"/>
      <c r="N428" s="156"/>
      <c r="O428" s="156"/>
      <c r="P428" s="156"/>
      <c r="Q428" s="152"/>
      <c r="R428" s="152"/>
      <c r="S428" s="152"/>
      <c r="T428" s="152"/>
      <c r="U428" s="152"/>
      <c r="V428" s="152"/>
      <c r="W428" s="152"/>
      <c r="X428" s="152"/>
      <c r="Y428" s="149"/>
    </row>
    <row r="429" spans="3:25" s="151" customFormat="1" ht="12.75">
      <c r="C429" s="152"/>
      <c r="D429" s="152"/>
      <c r="E429" s="149"/>
      <c r="F429" s="152"/>
      <c r="G429" s="152"/>
      <c r="H429" s="152"/>
      <c r="I429" s="152"/>
      <c r="J429" s="156"/>
      <c r="K429" s="156"/>
      <c r="L429" s="156"/>
      <c r="M429" s="156"/>
      <c r="N429" s="156"/>
      <c r="O429" s="156"/>
      <c r="P429" s="156"/>
      <c r="Q429" s="152"/>
      <c r="R429" s="152"/>
      <c r="S429" s="152"/>
      <c r="T429" s="152"/>
      <c r="U429" s="152"/>
      <c r="V429" s="152"/>
      <c r="W429" s="152"/>
      <c r="X429" s="152"/>
      <c r="Y429" s="149"/>
    </row>
    <row r="430" spans="3:25" s="151" customFormat="1" ht="12.75">
      <c r="C430" s="152"/>
      <c r="D430" s="152"/>
      <c r="E430" s="149"/>
      <c r="F430" s="152"/>
      <c r="G430" s="152"/>
      <c r="H430" s="152"/>
      <c r="I430" s="152"/>
      <c r="J430" s="156"/>
      <c r="K430" s="156"/>
      <c r="L430" s="156"/>
      <c r="M430" s="156"/>
      <c r="N430" s="156"/>
      <c r="O430" s="156"/>
      <c r="P430" s="156"/>
      <c r="Q430" s="152"/>
      <c r="R430" s="152"/>
      <c r="S430" s="152"/>
      <c r="T430" s="152"/>
      <c r="U430" s="152"/>
      <c r="V430" s="152"/>
      <c r="W430" s="152"/>
      <c r="X430" s="152"/>
      <c r="Y430" s="149"/>
    </row>
    <row r="431" spans="3:25" s="151" customFormat="1" ht="12.75">
      <c r="C431" s="152"/>
      <c r="D431" s="152"/>
      <c r="E431" s="149"/>
      <c r="F431" s="152"/>
      <c r="G431" s="152"/>
      <c r="H431" s="152"/>
      <c r="I431" s="152"/>
      <c r="J431" s="156"/>
      <c r="K431" s="156"/>
      <c r="L431" s="156"/>
      <c r="M431" s="156"/>
      <c r="N431" s="156"/>
      <c r="O431" s="156"/>
      <c r="P431" s="156"/>
      <c r="Q431" s="152"/>
      <c r="R431" s="152"/>
      <c r="S431" s="152"/>
      <c r="T431" s="152"/>
      <c r="U431" s="152"/>
      <c r="V431" s="152"/>
      <c r="W431" s="152"/>
      <c r="X431" s="152"/>
      <c r="Y431" s="149"/>
    </row>
    <row r="432" spans="3:25" s="151" customFormat="1" ht="12.75">
      <c r="C432" s="152"/>
      <c r="D432" s="152"/>
      <c r="E432" s="149"/>
      <c r="F432" s="152"/>
      <c r="G432" s="152"/>
      <c r="H432" s="152"/>
      <c r="I432" s="152"/>
      <c r="J432" s="156"/>
      <c r="K432" s="156"/>
      <c r="L432" s="156"/>
      <c r="M432" s="156"/>
      <c r="N432" s="156"/>
      <c r="O432" s="156"/>
      <c r="P432" s="156"/>
      <c r="Q432" s="152"/>
      <c r="R432" s="152"/>
      <c r="S432" s="152"/>
      <c r="T432" s="152"/>
      <c r="U432" s="152"/>
      <c r="V432" s="152"/>
      <c r="W432" s="152"/>
      <c r="X432" s="152"/>
      <c r="Y432" s="149"/>
    </row>
    <row r="433" spans="3:25" s="151" customFormat="1" ht="12.75">
      <c r="C433" s="152"/>
      <c r="D433" s="152"/>
      <c r="E433" s="149"/>
      <c r="F433" s="152"/>
      <c r="G433" s="152"/>
      <c r="H433" s="152"/>
      <c r="I433" s="152"/>
      <c r="J433" s="156"/>
      <c r="K433" s="156"/>
      <c r="L433" s="156"/>
      <c r="M433" s="156"/>
      <c r="N433" s="156"/>
      <c r="O433" s="156"/>
      <c r="P433" s="156"/>
      <c r="Q433" s="152"/>
      <c r="R433" s="152"/>
      <c r="S433" s="152"/>
      <c r="T433" s="152"/>
      <c r="U433" s="152"/>
      <c r="V433" s="152"/>
      <c r="W433" s="152"/>
      <c r="X433" s="152"/>
      <c r="Y433" s="149"/>
    </row>
    <row r="434" spans="3:25" s="151" customFormat="1" ht="12.75">
      <c r="C434" s="152"/>
      <c r="D434" s="152"/>
      <c r="E434" s="149"/>
      <c r="F434" s="152"/>
      <c r="G434" s="152"/>
      <c r="H434" s="152"/>
      <c r="I434" s="152"/>
      <c r="J434" s="156"/>
      <c r="K434" s="156"/>
      <c r="L434" s="156"/>
      <c r="M434" s="156"/>
      <c r="N434" s="156"/>
      <c r="O434" s="156"/>
      <c r="P434" s="156"/>
      <c r="Q434" s="152"/>
      <c r="R434" s="152"/>
      <c r="S434" s="152"/>
      <c r="T434" s="152"/>
      <c r="U434" s="152"/>
      <c r="V434" s="152"/>
      <c r="W434" s="152"/>
      <c r="X434" s="152"/>
      <c r="Y434" s="149"/>
    </row>
    <row r="435" spans="3:25" s="151" customFormat="1" ht="12.75">
      <c r="C435" s="152"/>
      <c r="D435" s="152"/>
      <c r="E435" s="149"/>
      <c r="F435" s="152"/>
      <c r="G435" s="152"/>
      <c r="H435" s="152"/>
      <c r="I435" s="152"/>
      <c r="J435" s="156"/>
      <c r="K435" s="156"/>
      <c r="L435" s="156"/>
      <c r="M435" s="156"/>
      <c r="N435" s="156"/>
      <c r="O435" s="156"/>
      <c r="P435" s="156"/>
      <c r="Q435" s="152"/>
      <c r="R435" s="152"/>
      <c r="S435" s="152"/>
      <c r="T435" s="152"/>
      <c r="U435" s="152"/>
      <c r="V435" s="152"/>
      <c r="W435" s="152"/>
      <c r="X435" s="152"/>
      <c r="Y435" s="149"/>
    </row>
    <row r="436" spans="3:25" s="151" customFormat="1" ht="12.75">
      <c r="C436" s="152"/>
      <c r="D436" s="152"/>
      <c r="E436" s="149"/>
      <c r="F436" s="152"/>
      <c r="G436" s="152"/>
      <c r="H436" s="152"/>
      <c r="I436" s="152"/>
      <c r="J436" s="156"/>
      <c r="K436" s="156"/>
      <c r="L436" s="156"/>
      <c r="M436" s="156"/>
      <c r="N436" s="156"/>
      <c r="O436" s="156"/>
      <c r="P436" s="156"/>
      <c r="Q436" s="152"/>
      <c r="R436" s="152"/>
      <c r="S436" s="152"/>
      <c r="T436" s="152"/>
      <c r="U436" s="152"/>
      <c r="V436" s="152"/>
      <c r="W436" s="152"/>
      <c r="X436" s="152"/>
      <c r="Y436" s="149"/>
    </row>
    <row r="437" spans="3:25" s="151" customFormat="1" ht="12.75">
      <c r="C437" s="152"/>
      <c r="D437" s="152"/>
      <c r="E437" s="149"/>
      <c r="F437" s="152"/>
      <c r="G437" s="152"/>
      <c r="H437" s="152"/>
      <c r="I437" s="152"/>
      <c r="J437" s="156"/>
      <c r="K437" s="156"/>
      <c r="L437" s="156"/>
      <c r="M437" s="156"/>
      <c r="N437" s="156"/>
      <c r="O437" s="156"/>
      <c r="P437" s="156"/>
      <c r="Q437" s="152"/>
      <c r="R437" s="152"/>
      <c r="S437" s="152"/>
      <c r="T437" s="152"/>
      <c r="U437" s="152"/>
      <c r="V437" s="152"/>
      <c r="W437" s="152"/>
      <c r="X437" s="152"/>
      <c r="Y437" s="149"/>
    </row>
    <row r="438" spans="3:25" s="151" customFormat="1" ht="12.75">
      <c r="C438" s="152"/>
      <c r="D438" s="152"/>
      <c r="E438" s="149"/>
      <c r="F438" s="152"/>
      <c r="G438" s="152"/>
      <c r="H438" s="152"/>
      <c r="I438" s="152"/>
      <c r="J438" s="156"/>
      <c r="K438" s="156"/>
      <c r="L438" s="156"/>
      <c r="M438" s="156"/>
      <c r="N438" s="156"/>
      <c r="O438" s="156"/>
      <c r="P438" s="156"/>
      <c r="Q438" s="152"/>
      <c r="R438" s="152"/>
      <c r="S438" s="152"/>
      <c r="T438" s="152"/>
      <c r="U438" s="152"/>
      <c r="V438" s="152"/>
      <c r="W438" s="152"/>
      <c r="X438" s="152"/>
      <c r="Y438" s="149"/>
    </row>
    <row r="439" spans="3:25" s="151" customFormat="1" ht="12.75">
      <c r="C439" s="152"/>
      <c r="D439" s="152"/>
      <c r="E439" s="149"/>
      <c r="F439" s="152"/>
      <c r="G439" s="152"/>
      <c r="H439" s="152"/>
      <c r="I439" s="152"/>
      <c r="J439" s="156"/>
      <c r="K439" s="156"/>
      <c r="L439" s="156"/>
      <c r="M439" s="156"/>
      <c r="N439" s="156"/>
      <c r="O439" s="156"/>
      <c r="P439" s="156"/>
      <c r="Q439" s="152"/>
      <c r="R439" s="152"/>
      <c r="S439" s="152"/>
      <c r="T439" s="152"/>
      <c r="U439" s="152"/>
      <c r="V439" s="152"/>
      <c r="W439" s="152"/>
      <c r="X439" s="152"/>
      <c r="Y439" s="149"/>
    </row>
    <row r="440" spans="3:25" s="151" customFormat="1" ht="12.75">
      <c r="C440" s="152"/>
      <c r="D440" s="152"/>
      <c r="E440" s="149"/>
      <c r="F440" s="152"/>
      <c r="G440" s="152"/>
      <c r="H440" s="152"/>
      <c r="I440" s="152"/>
      <c r="J440" s="156"/>
      <c r="K440" s="156"/>
      <c r="L440" s="156"/>
      <c r="M440" s="156"/>
      <c r="N440" s="156"/>
      <c r="O440" s="156"/>
      <c r="P440" s="156"/>
      <c r="Q440" s="152"/>
      <c r="R440" s="152"/>
      <c r="S440" s="152"/>
      <c r="T440" s="152"/>
      <c r="U440" s="152"/>
      <c r="V440" s="152"/>
      <c r="W440" s="152"/>
      <c r="X440" s="152"/>
      <c r="Y440" s="149"/>
    </row>
    <row r="441" spans="3:25" s="151" customFormat="1" ht="12.75">
      <c r="C441" s="152"/>
      <c r="D441" s="152"/>
      <c r="E441" s="149"/>
      <c r="F441" s="152"/>
      <c r="G441" s="152"/>
      <c r="H441" s="152"/>
      <c r="I441" s="152"/>
      <c r="J441" s="156"/>
      <c r="K441" s="156"/>
      <c r="L441" s="156"/>
      <c r="M441" s="156"/>
      <c r="N441" s="156"/>
      <c r="O441" s="156"/>
      <c r="P441" s="156"/>
      <c r="Q441" s="152"/>
      <c r="R441" s="152"/>
      <c r="S441" s="152"/>
      <c r="T441" s="152"/>
      <c r="U441" s="152"/>
      <c r="V441" s="152"/>
      <c r="W441" s="152"/>
      <c r="X441" s="152"/>
      <c r="Y441" s="149"/>
    </row>
    <row r="442" spans="3:25" s="151" customFormat="1" ht="12.75">
      <c r="C442" s="152"/>
      <c r="D442" s="152"/>
      <c r="E442" s="149"/>
      <c r="F442" s="152"/>
      <c r="G442" s="152"/>
      <c r="H442" s="152"/>
      <c r="I442" s="152"/>
      <c r="J442" s="156"/>
      <c r="K442" s="156"/>
      <c r="L442" s="156"/>
      <c r="M442" s="156"/>
      <c r="N442" s="156"/>
      <c r="O442" s="156"/>
      <c r="P442" s="156"/>
      <c r="Q442" s="152"/>
      <c r="R442" s="152"/>
      <c r="S442" s="152"/>
      <c r="T442" s="152"/>
      <c r="U442" s="152"/>
      <c r="V442" s="152"/>
      <c r="W442" s="152"/>
      <c r="X442" s="152"/>
      <c r="Y442" s="149"/>
    </row>
    <row r="443" spans="3:25" s="151" customFormat="1" ht="12.75">
      <c r="C443" s="152"/>
      <c r="D443" s="152"/>
      <c r="E443" s="149"/>
      <c r="F443" s="152"/>
      <c r="G443" s="152"/>
      <c r="H443" s="152"/>
      <c r="I443" s="152"/>
      <c r="J443" s="156"/>
      <c r="K443" s="156"/>
      <c r="L443" s="156"/>
      <c r="M443" s="156"/>
      <c r="N443" s="156"/>
      <c r="O443" s="156"/>
      <c r="P443" s="156"/>
      <c r="Q443" s="152"/>
      <c r="R443" s="152"/>
      <c r="S443" s="152"/>
      <c r="T443" s="152"/>
      <c r="U443" s="152"/>
      <c r="V443" s="152"/>
      <c r="W443" s="152"/>
      <c r="X443" s="152"/>
      <c r="Y443" s="149"/>
    </row>
    <row r="444" spans="3:25" s="151" customFormat="1" ht="12.75">
      <c r="C444" s="152"/>
      <c r="D444" s="152"/>
      <c r="E444" s="149"/>
      <c r="F444" s="152"/>
      <c r="G444" s="152"/>
      <c r="H444" s="152"/>
      <c r="I444" s="152"/>
      <c r="J444" s="156"/>
      <c r="K444" s="156"/>
      <c r="L444" s="156"/>
      <c r="M444" s="156"/>
      <c r="N444" s="156"/>
      <c r="O444" s="156"/>
      <c r="P444" s="156"/>
      <c r="Q444" s="152"/>
      <c r="R444" s="152"/>
      <c r="S444" s="152"/>
      <c r="T444" s="152"/>
      <c r="U444" s="152"/>
      <c r="V444" s="152"/>
      <c r="W444" s="152"/>
      <c r="X444" s="152"/>
      <c r="Y444" s="149"/>
    </row>
    <row r="445" spans="3:25" s="151" customFormat="1" ht="12.75">
      <c r="C445" s="152"/>
      <c r="D445" s="152"/>
      <c r="E445" s="149"/>
      <c r="F445" s="152"/>
      <c r="G445" s="152"/>
      <c r="H445" s="152"/>
      <c r="I445" s="152"/>
      <c r="J445" s="156"/>
      <c r="K445" s="156"/>
      <c r="L445" s="156"/>
      <c r="M445" s="156"/>
      <c r="N445" s="156"/>
      <c r="O445" s="156"/>
      <c r="P445" s="156"/>
      <c r="Q445" s="152"/>
      <c r="R445" s="152"/>
      <c r="S445" s="152"/>
      <c r="T445" s="152"/>
      <c r="U445" s="152"/>
      <c r="V445" s="152"/>
      <c r="W445" s="152"/>
      <c r="X445" s="152"/>
      <c r="Y445" s="149"/>
    </row>
    <row r="446" spans="3:25" s="151" customFormat="1" ht="12.75">
      <c r="C446" s="152"/>
      <c r="D446" s="152"/>
      <c r="E446" s="149"/>
      <c r="F446" s="152"/>
      <c r="G446" s="152"/>
      <c r="H446" s="152"/>
      <c r="I446" s="152"/>
      <c r="J446" s="156"/>
      <c r="K446" s="156"/>
      <c r="L446" s="156"/>
      <c r="M446" s="156"/>
      <c r="N446" s="156"/>
      <c r="O446" s="156"/>
      <c r="P446" s="156"/>
      <c r="Q446" s="152"/>
      <c r="R446" s="152"/>
      <c r="S446" s="152"/>
      <c r="T446" s="152"/>
      <c r="U446" s="152"/>
      <c r="V446" s="152"/>
      <c r="W446" s="152"/>
      <c r="X446" s="152"/>
      <c r="Y446" s="149"/>
    </row>
    <row r="447" spans="3:25" s="151" customFormat="1" ht="12.75">
      <c r="C447" s="152"/>
      <c r="D447" s="152"/>
      <c r="E447" s="149"/>
      <c r="F447" s="152"/>
      <c r="G447" s="152"/>
      <c r="H447" s="152"/>
      <c r="I447" s="152"/>
      <c r="J447" s="156"/>
      <c r="K447" s="156"/>
      <c r="L447" s="156"/>
      <c r="M447" s="156"/>
      <c r="N447" s="156"/>
      <c r="O447" s="156"/>
      <c r="P447" s="156"/>
      <c r="Q447" s="152"/>
      <c r="R447" s="152"/>
      <c r="S447" s="152"/>
      <c r="T447" s="152"/>
      <c r="U447" s="152"/>
      <c r="V447" s="152"/>
      <c r="W447" s="152"/>
      <c r="X447" s="152"/>
      <c r="Y447" s="149"/>
    </row>
    <row r="448" spans="3:25" s="151" customFormat="1" ht="12.75">
      <c r="C448" s="152"/>
      <c r="D448" s="152"/>
      <c r="E448" s="149"/>
      <c r="F448" s="152"/>
      <c r="G448" s="152"/>
      <c r="H448" s="152"/>
      <c r="I448" s="152"/>
      <c r="J448" s="156"/>
      <c r="K448" s="156"/>
      <c r="L448" s="156"/>
      <c r="M448" s="156"/>
      <c r="N448" s="156"/>
      <c r="O448" s="156"/>
      <c r="P448" s="156"/>
      <c r="Q448" s="152"/>
      <c r="R448" s="152"/>
      <c r="S448" s="152"/>
      <c r="T448" s="152"/>
      <c r="U448" s="152"/>
      <c r="V448" s="152"/>
      <c r="W448" s="152"/>
      <c r="X448" s="152"/>
      <c r="Y448" s="149"/>
    </row>
    <row r="449" spans="3:25" s="151" customFormat="1" ht="12.75">
      <c r="C449" s="152"/>
      <c r="D449" s="152"/>
      <c r="E449" s="149"/>
      <c r="F449" s="152"/>
      <c r="G449" s="152"/>
      <c r="H449" s="152"/>
      <c r="I449" s="152"/>
      <c r="J449" s="156"/>
      <c r="K449" s="156"/>
      <c r="L449" s="156"/>
      <c r="M449" s="156"/>
      <c r="N449" s="156"/>
      <c r="O449" s="156"/>
      <c r="P449" s="156"/>
      <c r="Q449" s="152"/>
      <c r="R449" s="152"/>
      <c r="S449" s="152"/>
      <c r="T449" s="152"/>
      <c r="U449" s="152"/>
      <c r="V449" s="152"/>
      <c r="W449" s="152"/>
      <c r="X449" s="152"/>
      <c r="Y449" s="149"/>
    </row>
    <row r="450" spans="3:25" s="151" customFormat="1" ht="12.75">
      <c r="C450" s="152"/>
      <c r="D450" s="152"/>
      <c r="E450" s="149"/>
      <c r="F450" s="152"/>
      <c r="G450" s="152"/>
      <c r="H450" s="152"/>
      <c r="I450" s="152"/>
      <c r="J450" s="156"/>
      <c r="K450" s="156"/>
      <c r="L450" s="156"/>
      <c r="M450" s="156"/>
      <c r="N450" s="156"/>
      <c r="O450" s="156"/>
      <c r="P450" s="156"/>
      <c r="Q450" s="152"/>
      <c r="R450" s="152"/>
      <c r="S450" s="152"/>
      <c r="T450" s="152"/>
      <c r="U450" s="152"/>
      <c r="V450" s="152"/>
      <c r="W450" s="152"/>
      <c r="X450" s="152"/>
      <c r="Y450" s="149"/>
    </row>
    <row r="451" spans="3:25" s="151" customFormat="1" ht="12.75">
      <c r="C451" s="152"/>
      <c r="D451" s="152"/>
      <c r="E451" s="149"/>
      <c r="F451" s="152"/>
      <c r="G451" s="152"/>
      <c r="H451" s="152"/>
      <c r="I451" s="152"/>
      <c r="J451" s="156"/>
      <c r="K451" s="156"/>
      <c r="L451" s="156"/>
      <c r="M451" s="156"/>
      <c r="N451" s="156"/>
      <c r="O451" s="156"/>
      <c r="P451" s="156"/>
      <c r="Q451" s="152"/>
      <c r="R451" s="152"/>
      <c r="S451" s="152"/>
      <c r="T451" s="152"/>
      <c r="U451" s="152"/>
      <c r="V451" s="152"/>
      <c r="W451" s="152"/>
      <c r="X451" s="152"/>
      <c r="Y451" s="149"/>
    </row>
    <row r="452" spans="3:25" s="151" customFormat="1" ht="12.75">
      <c r="C452" s="152"/>
      <c r="D452" s="152"/>
      <c r="E452" s="149"/>
      <c r="F452" s="152"/>
      <c r="G452" s="152"/>
      <c r="H452" s="152"/>
      <c r="I452" s="152"/>
      <c r="J452" s="156"/>
      <c r="K452" s="156"/>
      <c r="L452" s="156"/>
      <c r="M452" s="156"/>
      <c r="N452" s="156"/>
      <c r="O452" s="156"/>
      <c r="P452" s="156"/>
      <c r="Q452" s="152"/>
      <c r="R452" s="152"/>
      <c r="S452" s="152"/>
      <c r="T452" s="152"/>
      <c r="U452" s="152"/>
      <c r="V452" s="152"/>
      <c r="W452" s="152"/>
      <c r="X452" s="152"/>
      <c r="Y452" s="149"/>
    </row>
    <row r="453" spans="3:25" s="151" customFormat="1" ht="12.75">
      <c r="C453" s="152"/>
      <c r="D453" s="152"/>
      <c r="E453" s="149"/>
      <c r="F453" s="152"/>
      <c r="G453" s="152"/>
      <c r="H453" s="152"/>
      <c r="I453" s="152"/>
      <c r="J453" s="156"/>
      <c r="K453" s="156"/>
      <c r="L453" s="156"/>
      <c r="M453" s="156"/>
      <c r="N453" s="156"/>
      <c r="O453" s="156"/>
      <c r="P453" s="156"/>
      <c r="Q453" s="152"/>
      <c r="R453" s="152"/>
      <c r="S453" s="152"/>
      <c r="T453" s="152"/>
      <c r="U453" s="152"/>
      <c r="V453" s="152"/>
      <c r="W453" s="152"/>
      <c r="X453" s="152"/>
      <c r="Y453" s="149"/>
    </row>
    <row r="454" spans="3:25" s="151" customFormat="1" ht="12.75">
      <c r="C454" s="152"/>
      <c r="D454" s="152"/>
      <c r="E454" s="149"/>
      <c r="F454" s="152"/>
      <c r="G454" s="152"/>
      <c r="H454" s="152"/>
      <c r="I454" s="152"/>
      <c r="J454" s="156"/>
      <c r="K454" s="156"/>
      <c r="L454" s="156"/>
      <c r="M454" s="156"/>
      <c r="N454" s="156"/>
      <c r="O454" s="156"/>
      <c r="P454" s="156"/>
      <c r="Q454" s="152"/>
      <c r="R454" s="152"/>
      <c r="S454" s="152"/>
      <c r="T454" s="152"/>
      <c r="U454" s="152"/>
      <c r="V454" s="152"/>
      <c r="W454" s="152"/>
      <c r="X454" s="152"/>
      <c r="Y454" s="149"/>
    </row>
    <row r="455" spans="3:25" s="151" customFormat="1" ht="12.75">
      <c r="C455" s="152"/>
      <c r="D455" s="152"/>
      <c r="E455" s="149"/>
      <c r="F455" s="152"/>
      <c r="G455" s="152"/>
      <c r="H455" s="152"/>
      <c r="I455" s="152"/>
      <c r="J455" s="156"/>
      <c r="K455" s="156"/>
      <c r="L455" s="156"/>
      <c r="M455" s="156"/>
      <c r="N455" s="156"/>
      <c r="O455" s="156"/>
      <c r="P455" s="156"/>
      <c r="Q455" s="152"/>
      <c r="R455" s="152"/>
      <c r="S455" s="152"/>
      <c r="T455" s="152"/>
      <c r="U455" s="152"/>
      <c r="V455" s="152"/>
      <c r="W455" s="152"/>
      <c r="X455" s="152"/>
      <c r="Y455" s="149"/>
    </row>
    <row r="456" spans="3:25" s="151" customFormat="1" ht="12.75">
      <c r="C456" s="152"/>
      <c r="D456" s="152"/>
      <c r="E456" s="149"/>
      <c r="F456" s="152"/>
      <c r="G456" s="152"/>
      <c r="H456" s="152"/>
      <c r="I456" s="152"/>
      <c r="J456" s="156"/>
      <c r="K456" s="156"/>
      <c r="L456" s="156"/>
      <c r="M456" s="156"/>
      <c r="N456" s="156"/>
      <c r="O456" s="156"/>
      <c r="P456" s="156"/>
      <c r="Q456" s="152"/>
      <c r="R456" s="152"/>
      <c r="S456" s="152"/>
      <c r="T456" s="152"/>
      <c r="U456" s="152"/>
      <c r="V456" s="152"/>
      <c r="W456" s="152"/>
      <c r="X456" s="152"/>
      <c r="Y456" s="149"/>
    </row>
    <row r="457" spans="3:25" s="151" customFormat="1" ht="12.75">
      <c r="C457" s="152"/>
      <c r="D457" s="152"/>
      <c r="E457" s="149"/>
      <c r="F457" s="152"/>
      <c r="G457" s="152"/>
      <c r="H457" s="152"/>
      <c r="I457" s="152"/>
      <c r="J457" s="156"/>
      <c r="K457" s="156"/>
      <c r="L457" s="156"/>
      <c r="M457" s="156"/>
      <c r="N457" s="156"/>
      <c r="O457" s="156"/>
      <c r="P457" s="156"/>
      <c r="Q457" s="152"/>
      <c r="R457" s="152"/>
      <c r="S457" s="152"/>
      <c r="T457" s="152"/>
      <c r="U457" s="152"/>
      <c r="V457" s="152"/>
      <c r="W457" s="152"/>
      <c r="X457" s="152"/>
      <c r="Y457" s="149"/>
    </row>
    <row r="458" spans="3:25" s="151" customFormat="1" ht="12.75">
      <c r="C458" s="152"/>
      <c r="D458" s="152"/>
      <c r="E458" s="149"/>
      <c r="F458" s="152"/>
      <c r="G458" s="152"/>
      <c r="H458" s="152"/>
      <c r="I458" s="152"/>
      <c r="J458" s="156"/>
      <c r="K458" s="156"/>
      <c r="L458" s="156"/>
      <c r="M458" s="156"/>
      <c r="N458" s="156"/>
      <c r="O458" s="156"/>
      <c r="P458" s="156"/>
      <c r="Q458" s="152"/>
      <c r="R458" s="152"/>
      <c r="S458" s="152"/>
      <c r="T458" s="152"/>
      <c r="U458" s="152"/>
      <c r="V458" s="152"/>
      <c r="W458" s="152"/>
      <c r="X458" s="152"/>
      <c r="Y458" s="149"/>
    </row>
    <row r="459" spans="3:25" s="151" customFormat="1" ht="12.75">
      <c r="C459" s="152"/>
      <c r="D459" s="152"/>
      <c r="E459" s="149"/>
      <c r="F459" s="152"/>
      <c r="G459" s="152"/>
      <c r="H459" s="152"/>
      <c r="I459" s="152"/>
      <c r="J459" s="156"/>
      <c r="K459" s="156"/>
      <c r="L459" s="156"/>
      <c r="M459" s="156"/>
      <c r="N459" s="156"/>
      <c r="O459" s="156"/>
      <c r="P459" s="156"/>
      <c r="Q459" s="152"/>
      <c r="R459" s="152"/>
      <c r="S459" s="152"/>
      <c r="T459" s="152"/>
      <c r="U459" s="152"/>
      <c r="V459" s="152"/>
      <c r="W459" s="152"/>
      <c r="X459" s="152"/>
      <c r="Y459" s="149"/>
    </row>
    <row r="460" spans="3:25" s="151" customFormat="1" ht="12.75">
      <c r="C460" s="152"/>
      <c r="D460" s="152"/>
      <c r="E460" s="149"/>
      <c r="F460" s="152"/>
      <c r="G460" s="152"/>
      <c r="H460" s="152"/>
      <c r="I460" s="152"/>
      <c r="J460" s="156"/>
      <c r="K460" s="156"/>
      <c r="L460" s="156"/>
      <c r="M460" s="156"/>
      <c r="N460" s="156"/>
      <c r="O460" s="156"/>
      <c r="P460" s="156"/>
      <c r="Q460" s="152"/>
      <c r="R460" s="152"/>
      <c r="S460" s="152"/>
      <c r="T460" s="152"/>
      <c r="U460" s="152"/>
      <c r="V460" s="152"/>
      <c r="W460" s="152"/>
      <c r="X460" s="152"/>
      <c r="Y460" s="149"/>
    </row>
    <row r="461" spans="3:25" s="151" customFormat="1" ht="12.75">
      <c r="C461" s="152"/>
      <c r="D461" s="152"/>
      <c r="E461" s="149"/>
      <c r="F461" s="152"/>
      <c r="G461" s="152"/>
      <c r="H461" s="152"/>
      <c r="I461" s="152"/>
      <c r="J461" s="156"/>
      <c r="K461" s="156"/>
      <c r="L461" s="156"/>
      <c r="M461" s="156"/>
      <c r="N461" s="156"/>
      <c r="O461" s="156"/>
      <c r="P461" s="156"/>
      <c r="Q461" s="152"/>
      <c r="R461" s="152"/>
      <c r="S461" s="152"/>
      <c r="T461" s="152"/>
      <c r="U461" s="152"/>
      <c r="V461" s="152"/>
      <c r="W461" s="152"/>
      <c r="X461" s="152"/>
      <c r="Y461" s="149"/>
    </row>
    <row r="462" spans="3:25" s="151" customFormat="1" ht="12.75">
      <c r="C462" s="152"/>
      <c r="D462" s="152"/>
      <c r="E462" s="149"/>
      <c r="F462" s="152"/>
      <c r="G462" s="152"/>
      <c r="H462" s="152"/>
      <c r="I462" s="152"/>
      <c r="J462" s="156"/>
      <c r="K462" s="156"/>
      <c r="L462" s="156"/>
      <c r="M462" s="156"/>
      <c r="N462" s="156"/>
      <c r="O462" s="156"/>
      <c r="P462" s="156"/>
      <c r="Q462" s="152"/>
      <c r="R462" s="152"/>
      <c r="S462" s="152"/>
      <c r="T462" s="152"/>
      <c r="U462" s="152"/>
      <c r="V462" s="152"/>
      <c r="W462" s="152"/>
      <c r="X462" s="152"/>
      <c r="Y462" s="149"/>
    </row>
    <row r="463" spans="3:25" s="151" customFormat="1" ht="12.75">
      <c r="C463" s="152"/>
      <c r="D463" s="152"/>
      <c r="E463" s="149"/>
      <c r="F463" s="152"/>
      <c r="G463" s="152"/>
      <c r="H463" s="152"/>
      <c r="I463" s="152"/>
      <c r="J463" s="156"/>
      <c r="K463" s="156"/>
      <c r="L463" s="156"/>
      <c r="M463" s="156"/>
      <c r="N463" s="156"/>
      <c r="O463" s="156"/>
      <c r="P463" s="156"/>
      <c r="Q463" s="152"/>
      <c r="R463" s="152"/>
      <c r="S463" s="152"/>
      <c r="T463" s="152"/>
      <c r="U463" s="152"/>
      <c r="V463" s="152"/>
      <c r="W463" s="152"/>
      <c r="X463" s="152"/>
      <c r="Y463" s="149"/>
    </row>
    <row r="464" spans="3:25" s="151" customFormat="1" ht="12.75">
      <c r="C464" s="152"/>
      <c r="D464" s="152"/>
      <c r="E464" s="149"/>
      <c r="F464" s="152"/>
      <c r="G464" s="152"/>
      <c r="H464" s="152"/>
      <c r="I464" s="152"/>
      <c r="J464" s="156"/>
      <c r="K464" s="156"/>
      <c r="L464" s="156"/>
      <c r="M464" s="156"/>
      <c r="N464" s="156"/>
      <c r="O464" s="156"/>
      <c r="P464" s="156"/>
      <c r="Q464" s="152"/>
      <c r="R464" s="152"/>
      <c r="S464" s="152"/>
      <c r="T464" s="152"/>
      <c r="U464" s="152"/>
      <c r="V464" s="152"/>
      <c r="W464" s="152"/>
      <c r="X464" s="152"/>
      <c r="Y464" s="149"/>
    </row>
    <row r="465" spans="3:25" s="151" customFormat="1" ht="12.75">
      <c r="C465" s="152"/>
      <c r="D465" s="152"/>
      <c r="E465" s="149"/>
      <c r="F465" s="152"/>
      <c r="G465" s="152"/>
      <c r="H465" s="152"/>
      <c r="I465" s="152"/>
      <c r="J465" s="156"/>
      <c r="K465" s="156"/>
      <c r="L465" s="156"/>
      <c r="M465" s="156"/>
      <c r="N465" s="156"/>
      <c r="O465" s="156"/>
      <c r="P465" s="156"/>
      <c r="Q465" s="152"/>
      <c r="R465" s="152"/>
      <c r="S465" s="152"/>
      <c r="T465" s="152"/>
      <c r="U465" s="152"/>
      <c r="V465" s="152"/>
      <c r="W465" s="152"/>
      <c r="X465" s="152"/>
      <c r="Y465" s="149"/>
    </row>
    <row r="466" spans="3:25" s="151" customFormat="1" ht="12.75">
      <c r="C466" s="152"/>
      <c r="D466" s="152"/>
      <c r="E466" s="149"/>
      <c r="F466" s="152"/>
      <c r="G466" s="152"/>
      <c r="H466" s="152"/>
      <c r="I466" s="152"/>
      <c r="J466" s="156"/>
      <c r="K466" s="156"/>
      <c r="L466" s="156"/>
      <c r="M466" s="156"/>
      <c r="N466" s="156"/>
      <c r="O466" s="156"/>
      <c r="P466" s="156"/>
      <c r="Q466" s="152"/>
      <c r="R466" s="152"/>
      <c r="S466" s="152"/>
      <c r="T466" s="152"/>
      <c r="U466" s="152"/>
      <c r="V466" s="152"/>
      <c r="W466" s="152"/>
      <c r="X466" s="152"/>
      <c r="Y466" s="149"/>
    </row>
    <row r="467" spans="3:25" s="151" customFormat="1" ht="12.75">
      <c r="C467" s="152"/>
      <c r="D467" s="152"/>
      <c r="E467" s="149"/>
      <c r="F467" s="152"/>
      <c r="G467" s="152"/>
      <c r="H467" s="152"/>
      <c r="I467" s="152"/>
      <c r="J467" s="156"/>
      <c r="K467" s="156"/>
      <c r="L467" s="156"/>
      <c r="M467" s="156"/>
      <c r="N467" s="156"/>
      <c r="O467" s="156"/>
      <c r="P467" s="156"/>
      <c r="Q467" s="152"/>
      <c r="R467" s="152"/>
      <c r="S467" s="152"/>
      <c r="T467" s="152"/>
      <c r="U467" s="152"/>
      <c r="V467" s="152"/>
      <c r="W467" s="152"/>
      <c r="X467" s="152"/>
      <c r="Y467" s="149"/>
    </row>
    <row r="468" spans="3:25" s="151" customFormat="1" ht="12.75">
      <c r="C468" s="152"/>
      <c r="D468" s="152"/>
      <c r="E468" s="149"/>
      <c r="F468" s="152"/>
      <c r="G468" s="152"/>
      <c r="H468" s="152"/>
      <c r="I468" s="152"/>
      <c r="J468" s="156"/>
      <c r="K468" s="156"/>
      <c r="L468" s="156"/>
      <c r="M468" s="156"/>
      <c r="N468" s="156"/>
      <c r="O468" s="156"/>
      <c r="P468" s="156"/>
      <c r="Q468" s="152"/>
      <c r="R468" s="152"/>
      <c r="S468" s="152"/>
      <c r="T468" s="152"/>
      <c r="U468" s="152"/>
      <c r="V468" s="152"/>
      <c r="W468" s="152"/>
      <c r="X468" s="152"/>
      <c r="Y468" s="149"/>
    </row>
    <row r="469" spans="3:25" s="151" customFormat="1" ht="12.75">
      <c r="C469" s="152"/>
      <c r="D469" s="152"/>
      <c r="E469" s="149"/>
      <c r="F469" s="152"/>
      <c r="G469" s="152"/>
      <c r="H469" s="152"/>
      <c r="I469" s="152"/>
      <c r="J469" s="156"/>
      <c r="K469" s="156"/>
      <c r="L469" s="156"/>
      <c r="M469" s="156"/>
      <c r="N469" s="156"/>
      <c r="O469" s="156"/>
      <c r="P469" s="156"/>
      <c r="Q469" s="152"/>
      <c r="R469" s="152"/>
      <c r="S469" s="152"/>
      <c r="T469" s="152"/>
      <c r="U469" s="152"/>
      <c r="V469" s="152"/>
      <c r="W469" s="152"/>
      <c r="X469" s="152"/>
      <c r="Y469" s="149"/>
    </row>
    <row r="470" spans="3:25" s="151" customFormat="1" ht="12.75">
      <c r="C470" s="152"/>
      <c r="D470" s="152"/>
      <c r="E470" s="149"/>
      <c r="F470" s="152"/>
      <c r="G470" s="152"/>
      <c r="H470" s="152"/>
      <c r="I470" s="152"/>
      <c r="J470" s="156"/>
      <c r="K470" s="156"/>
      <c r="L470" s="156"/>
      <c r="M470" s="156"/>
      <c r="N470" s="156"/>
      <c r="O470" s="156"/>
      <c r="P470" s="156"/>
      <c r="Q470" s="152"/>
      <c r="R470" s="152"/>
      <c r="S470" s="152"/>
      <c r="T470" s="152"/>
      <c r="U470" s="152"/>
      <c r="V470" s="152"/>
      <c r="W470" s="152"/>
      <c r="X470" s="152"/>
      <c r="Y470" s="149"/>
    </row>
    <row r="471" spans="3:25" s="151" customFormat="1" ht="12.75">
      <c r="C471" s="152"/>
      <c r="D471" s="152"/>
      <c r="E471" s="149"/>
      <c r="F471" s="152"/>
      <c r="G471" s="152"/>
      <c r="H471" s="152"/>
      <c r="I471" s="152"/>
      <c r="J471" s="156"/>
      <c r="K471" s="156"/>
      <c r="L471" s="156"/>
      <c r="M471" s="156"/>
      <c r="N471" s="156"/>
      <c r="O471" s="156"/>
      <c r="P471" s="156"/>
      <c r="Q471" s="152"/>
      <c r="R471" s="152"/>
      <c r="S471" s="152"/>
      <c r="T471" s="152"/>
      <c r="U471" s="152"/>
      <c r="V471" s="152"/>
      <c r="W471" s="152"/>
      <c r="X471" s="152"/>
      <c r="Y471" s="149"/>
    </row>
    <row r="472" spans="3:25" s="151" customFormat="1" ht="12.75">
      <c r="C472" s="152"/>
      <c r="D472" s="152"/>
      <c r="E472" s="149"/>
      <c r="F472" s="152"/>
      <c r="G472" s="152"/>
      <c r="H472" s="152"/>
      <c r="I472" s="152"/>
      <c r="J472" s="156"/>
      <c r="K472" s="156"/>
      <c r="L472" s="156"/>
      <c r="M472" s="156"/>
      <c r="N472" s="156"/>
      <c r="O472" s="156"/>
      <c r="P472" s="156"/>
      <c r="Q472" s="152"/>
      <c r="R472" s="152"/>
      <c r="S472" s="152"/>
      <c r="T472" s="152"/>
      <c r="U472" s="152"/>
      <c r="V472" s="152"/>
      <c r="W472" s="152"/>
      <c r="X472" s="152"/>
      <c r="Y472" s="149"/>
    </row>
    <row r="473" spans="3:25" s="151" customFormat="1" ht="12.75">
      <c r="C473" s="152"/>
      <c r="D473" s="152"/>
      <c r="E473" s="149"/>
      <c r="F473" s="152"/>
      <c r="G473" s="152"/>
      <c r="H473" s="152"/>
      <c r="I473" s="152"/>
      <c r="J473" s="156"/>
      <c r="K473" s="156"/>
      <c r="L473" s="156"/>
      <c r="M473" s="156"/>
      <c r="N473" s="156"/>
      <c r="O473" s="156"/>
      <c r="P473" s="156"/>
      <c r="Q473" s="152"/>
      <c r="R473" s="152"/>
      <c r="S473" s="152"/>
      <c r="T473" s="152"/>
      <c r="U473" s="152"/>
      <c r="V473" s="152"/>
      <c r="W473" s="152"/>
      <c r="X473" s="152"/>
      <c r="Y473" s="149"/>
    </row>
    <row r="474" spans="3:25" s="151" customFormat="1" ht="12.75">
      <c r="C474" s="152"/>
      <c r="D474" s="152"/>
      <c r="E474" s="149"/>
      <c r="F474" s="152"/>
      <c r="G474" s="152"/>
      <c r="H474" s="152"/>
      <c r="I474" s="152"/>
      <c r="J474" s="156"/>
      <c r="K474" s="156"/>
      <c r="L474" s="156"/>
      <c r="M474" s="156"/>
      <c r="N474" s="156"/>
      <c r="O474" s="156"/>
      <c r="P474" s="156"/>
      <c r="Q474" s="152"/>
      <c r="R474" s="152"/>
      <c r="S474" s="152"/>
      <c r="T474" s="152"/>
      <c r="U474" s="152"/>
      <c r="V474" s="152"/>
      <c r="W474" s="152"/>
      <c r="X474" s="152"/>
      <c r="Y474" s="149"/>
    </row>
    <row r="475" spans="3:25" s="151" customFormat="1" ht="12.75">
      <c r="C475" s="152"/>
      <c r="D475" s="152"/>
      <c r="E475" s="149"/>
      <c r="F475" s="152"/>
      <c r="G475" s="152"/>
      <c r="H475" s="152"/>
      <c r="I475" s="152"/>
      <c r="J475" s="156"/>
      <c r="K475" s="156"/>
      <c r="L475" s="156"/>
      <c r="M475" s="156"/>
      <c r="N475" s="156"/>
      <c r="O475" s="156"/>
      <c r="P475" s="156"/>
      <c r="Q475" s="152"/>
      <c r="R475" s="152"/>
      <c r="S475" s="152"/>
      <c r="T475" s="152"/>
      <c r="U475" s="152"/>
      <c r="V475" s="152"/>
      <c r="W475" s="152"/>
      <c r="X475" s="152"/>
      <c r="Y475" s="149"/>
    </row>
    <row r="476" spans="3:25" s="151" customFormat="1" ht="12.75">
      <c r="C476" s="152"/>
      <c r="D476" s="152"/>
      <c r="E476" s="149"/>
      <c r="F476" s="152"/>
      <c r="G476" s="152"/>
      <c r="H476" s="152"/>
      <c r="I476" s="152"/>
      <c r="J476" s="156"/>
      <c r="K476" s="156"/>
      <c r="L476" s="156"/>
      <c r="M476" s="156"/>
      <c r="N476" s="156"/>
      <c r="O476" s="156"/>
      <c r="P476" s="156"/>
      <c r="Q476" s="152"/>
      <c r="R476" s="152"/>
      <c r="S476" s="152"/>
      <c r="T476" s="152"/>
      <c r="U476" s="152"/>
      <c r="V476" s="152"/>
      <c r="W476" s="152"/>
      <c r="X476" s="152"/>
      <c r="Y476" s="149"/>
    </row>
    <row r="477" spans="3:25" s="151" customFormat="1" ht="12.75">
      <c r="C477" s="152"/>
      <c r="D477" s="152"/>
      <c r="E477" s="149"/>
      <c r="F477" s="152"/>
      <c r="G477" s="152"/>
      <c r="H477" s="152"/>
      <c r="I477" s="152"/>
      <c r="J477" s="156"/>
      <c r="K477" s="156"/>
      <c r="L477" s="156"/>
      <c r="M477" s="156"/>
      <c r="N477" s="156"/>
      <c r="O477" s="156"/>
      <c r="P477" s="156"/>
      <c r="Q477" s="152"/>
      <c r="R477" s="152"/>
      <c r="S477" s="152"/>
      <c r="T477" s="152"/>
      <c r="U477" s="152"/>
      <c r="V477" s="152"/>
      <c r="W477" s="152"/>
      <c r="X477" s="152"/>
      <c r="Y477" s="149"/>
    </row>
    <row r="478" spans="3:25" s="151" customFormat="1" ht="12.75">
      <c r="C478" s="152"/>
      <c r="D478" s="152"/>
      <c r="E478" s="149"/>
      <c r="F478" s="152"/>
      <c r="G478" s="152"/>
      <c r="H478" s="152"/>
      <c r="I478" s="152"/>
      <c r="J478" s="156"/>
      <c r="K478" s="156"/>
      <c r="L478" s="156"/>
      <c r="M478" s="156"/>
      <c r="N478" s="156"/>
      <c r="O478" s="156"/>
      <c r="P478" s="156"/>
      <c r="Q478" s="152"/>
      <c r="R478" s="152"/>
      <c r="S478" s="152"/>
      <c r="T478" s="152"/>
      <c r="U478" s="152"/>
      <c r="V478" s="152"/>
      <c r="W478" s="152"/>
      <c r="X478" s="152"/>
      <c r="Y478" s="149"/>
    </row>
    <row r="479" spans="3:25" s="151" customFormat="1" ht="12.75">
      <c r="C479" s="152"/>
      <c r="D479" s="152"/>
      <c r="E479" s="149"/>
      <c r="F479" s="152"/>
      <c r="G479" s="152"/>
      <c r="H479" s="152"/>
      <c r="I479" s="152"/>
      <c r="J479" s="156"/>
      <c r="K479" s="156"/>
      <c r="L479" s="156"/>
      <c r="M479" s="156"/>
      <c r="N479" s="156"/>
      <c r="O479" s="156"/>
      <c r="P479" s="156"/>
      <c r="Q479" s="152"/>
      <c r="R479" s="152"/>
      <c r="S479" s="152"/>
      <c r="T479" s="152"/>
      <c r="U479" s="152"/>
      <c r="V479" s="152"/>
      <c r="W479" s="152"/>
      <c r="X479" s="152"/>
      <c r="Y479" s="149"/>
    </row>
    <row r="480" spans="3:25" s="151" customFormat="1" ht="12.75">
      <c r="C480" s="152"/>
      <c r="D480" s="152"/>
      <c r="E480" s="149"/>
      <c r="F480" s="152"/>
      <c r="G480" s="152"/>
      <c r="H480" s="152"/>
      <c r="I480" s="152"/>
      <c r="J480" s="156"/>
      <c r="K480" s="156"/>
      <c r="L480" s="156"/>
      <c r="M480" s="156"/>
      <c r="N480" s="156"/>
      <c r="O480" s="156"/>
      <c r="P480" s="156"/>
      <c r="Q480" s="152"/>
      <c r="R480" s="152"/>
      <c r="S480" s="152"/>
      <c r="T480" s="152"/>
      <c r="U480" s="152"/>
      <c r="V480" s="152"/>
      <c r="W480" s="152"/>
      <c r="X480" s="152"/>
      <c r="Y480" s="149"/>
    </row>
    <row r="481" spans="3:25" s="151" customFormat="1" ht="12.75">
      <c r="C481" s="152"/>
      <c r="D481" s="152"/>
      <c r="E481" s="149"/>
      <c r="F481" s="152"/>
      <c r="G481" s="152"/>
      <c r="H481" s="152"/>
      <c r="I481" s="152"/>
      <c r="J481" s="156"/>
      <c r="K481" s="156"/>
      <c r="L481" s="156"/>
      <c r="M481" s="156"/>
      <c r="N481" s="156"/>
      <c r="O481" s="156"/>
      <c r="P481" s="156"/>
      <c r="Q481" s="152"/>
      <c r="R481" s="152"/>
      <c r="S481" s="152"/>
      <c r="T481" s="152"/>
      <c r="U481" s="152"/>
      <c r="V481" s="152"/>
      <c r="W481" s="152"/>
      <c r="X481" s="152"/>
      <c r="Y481" s="149"/>
    </row>
    <row r="482" spans="3:25" s="151" customFormat="1" ht="12.75">
      <c r="C482" s="152"/>
      <c r="D482" s="152"/>
      <c r="E482" s="149"/>
      <c r="F482" s="152"/>
      <c r="G482" s="152"/>
      <c r="H482" s="152"/>
      <c r="I482" s="152"/>
      <c r="J482" s="156"/>
      <c r="K482" s="156"/>
      <c r="L482" s="156"/>
      <c r="M482" s="156"/>
      <c r="N482" s="156"/>
      <c r="O482" s="156"/>
      <c r="P482" s="156"/>
      <c r="Q482" s="152"/>
      <c r="R482" s="152"/>
      <c r="S482" s="152"/>
      <c r="T482" s="152"/>
      <c r="U482" s="152"/>
      <c r="V482" s="152"/>
      <c r="W482" s="152"/>
      <c r="X482" s="152"/>
      <c r="Y482" s="149"/>
    </row>
    <row r="483" spans="3:25" s="151" customFormat="1" ht="12.75">
      <c r="C483" s="152"/>
      <c r="D483" s="152"/>
      <c r="E483" s="149"/>
      <c r="F483" s="152"/>
      <c r="G483" s="152"/>
      <c r="H483" s="152"/>
      <c r="I483" s="152"/>
      <c r="J483" s="156"/>
      <c r="K483" s="156"/>
      <c r="L483" s="156"/>
      <c r="M483" s="156"/>
      <c r="N483" s="156"/>
      <c r="O483" s="156"/>
      <c r="P483" s="156"/>
      <c r="Q483" s="152"/>
      <c r="R483" s="152"/>
      <c r="S483" s="152"/>
      <c r="T483" s="152"/>
      <c r="U483" s="152"/>
      <c r="V483" s="152"/>
      <c r="W483" s="152"/>
      <c r="X483" s="152"/>
      <c r="Y483" s="149"/>
    </row>
    <row r="484" spans="3:25" s="151" customFormat="1" ht="12.75">
      <c r="C484" s="152"/>
      <c r="D484" s="152"/>
      <c r="E484" s="149"/>
      <c r="F484" s="152"/>
      <c r="G484" s="152"/>
      <c r="H484" s="152"/>
      <c r="I484" s="152"/>
      <c r="J484" s="156"/>
      <c r="K484" s="156"/>
      <c r="L484" s="156"/>
      <c r="M484" s="156"/>
      <c r="N484" s="156"/>
      <c r="O484" s="156"/>
      <c r="P484" s="156"/>
      <c r="Q484" s="152"/>
      <c r="R484" s="152"/>
      <c r="S484" s="152"/>
      <c r="T484" s="152"/>
      <c r="U484" s="152"/>
      <c r="V484" s="152"/>
      <c r="W484" s="152"/>
      <c r="X484" s="152"/>
      <c r="Y484" s="149"/>
    </row>
    <row r="485" spans="3:25" s="151" customFormat="1" ht="12.75">
      <c r="C485" s="152"/>
      <c r="D485" s="152"/>
      <c r="E485" s="149"/>
      <c r="F485" s="152"/>
      <c r="G485" s="152"/>
      <c r="H485" s="152"/>
      <c r="I485" s="152"/>
      <c r="J485" s="156"/>
      <c r="K485" s="156"/>
      <c r="L485" s="156"/>
      <c r="M485" s="156"/>
      <c r="N485" s="156"/>
      <c r="O485" s="156"/>
      <c r="P485" s="156"/>
      <c r="Q485" s="152"/>
      <c r="R485" s="152"/>
      <c r="S485" s="152"/>
      <c r="T485" s="152"/>
      <c r="U485" s="152"/>
      <c r="V485" s="152"/>
      <c r="W485" s="152"/>
      <c r="X485" s="152"/>
      <c r="Y485" s="149"/>
    </row>
    <row r="486" spans="3:25" s="151" customFormat="1" ht="12.75">
      <c r="C486" s="152"/>
      <c r="D486" s="152"/>
      <c r="E486" s="149"/>
      <c r="F486" s="152"/>
      <c r="G486" s="152"/>
      <c r="H486" s="152"/>
      <c r="I486" s="152"/>
      <c r="J486" s="156"/>
      <c r="K486" s="156"/>
      <c r="L486" s="156"/>
      <c r="M486" s="156"/>
      <c r="N486" s="156"/>
      <c r="O486" s="156"/>
      <c r="P486" s="156"/>
      <c r="Q486" s="152"/>
      <c r="R486" s="152"/>
      <c r="S486" s="152"/>
      <c r="T486" s="152"/>
      <c r="U486" s="152"/>
      <c r="V486" s="152"/>
      <c r="W486" s="152"/>
      <c r="X486" s="152"/>
      <c r="Y486" s="149"/>
    </row>
    <row r="487" spans="3:25" s="151" customFormat="1" ht="12.75">
      <c r="C487" s="152"/>
      <c r="D487" s="152"/>
      <c r="E487" s="149"/>
      <c r="F487" s="152"/>
      <c r="G487" s="152"/>
      <c r="H487" s="152"/>
      <c r="I487" s="152"/>
      <c r="J487" s="156"/>
      <c r="K487" s="156"/>
      <c r="L487" s="156"/>
      <c r="M487" s="156"/>
      <c r="N487" s="156"/>
      <c r="O487" s="156"/>
      <c r="P487" s="156"/>
      <c r="Q487" s="152"/>
      <c r="R487" s="152"/>
      <c r="S487" s="152"/>
      <c r="T487" s="152"/>
      <c r="U487" s="152"/>
      <c r="V487" s="152"/>
      <c r="W487" s="152"/>
      <c r="X487" s="152"/>
      <c r="Y487" s="149"/>
    </row>
    <row r="488" spans="3:25" s="151" customFormat="1" ht="12.75">
      <c r="C488" s="152"/>
      <c r="D488" s="152"/>
      <c r="E488" s="149"/>
      <c r="F488" s="152"/>
      <c r="G488" s="152"/>
      <c r="H488" s="152"/>
      <c r="I488" s="152"/>
      <c r="J488" s="156"/>
      <c r="K488" s="156"/>
      <c r="L488" s="156"/>
      <c r="M488" s="156"/>
      <c r="N488" s="156"/>
      <c r="O488" s="156"/>
      <c r="P488" s="156"/>
      <c r="Q488" s="152"/>
      <c r="R488" s="152"/>
      <c r="S488" s="152"/>
      <c r="T488" s="152"/>
      <c r="U488" s="152"/>
      <c r="V488" s="152"/>
      <c r="W488" s="152"/>
      <c r="X488" s="152"/>
      <c r="Y488" s="149"/>
    </row>
    <row r="489" spans="3:25" s="151" customFormat="1" ht="12.75">
      <c r="C489" s="152"/>
      <c r="D489" s="152"/>
      <c r="E489" s="149"/>
      <c r="F489" s="152"/>
      <c r="G489" s="152"/>
      <c r="H489" s="152"/>
      <c r="I489" s="152"/>
      <c r="J489" s="156"/>
      <c r="K489" s="156"/>
      <c r="L489" s="156"/>
      <c r="M489" s="156"/>
      <c r="N489" s="156"/>
      <c r="O489" s="156"/>
      <c r="P489" s="156"/>
      <c r="Q489" s="152"/>
      <c r="R489" s="152"/>
      <c r="S489" s="152"/>
      <c r="T489" s="152"/>
      <c r="U489" s="152"/>
      <c r="V489" s="152"/>
      <c r="W489" s="152"/>
      <c r="X489" s="152"/>
      <c r="Y489" s="149"/>
    </row>
    <row r="490" spans="3:25" s="151" customFormat="1" ht="12.75">
      <c r="C490" s="152"/>
      <c r="D490" s="152"/>
      <c r="E490" s="149"/>
      <c r="F490" s="152"/>
      <c r="G490" s="152"/>
      <c r="H490" s="152"/>
      <c r="I490" s="152"/>
      <c r="J490" s="156"/>
      <c r="K490" s="156"/>
      <c r="L490" s="156"/>
      <c r="M490" s="156"/>
      <c r="N490" s="156"/>
      <c r="O490" s="156"/>
      <c r="P490" s="156"/>
      <c r="Q490" s="152"/>
      <c r="R490" s="152"/>
      <c r="S490" s="152"/>
      <c r="T490" s="152"/>
      <c r="U490" s="152"/>
      <c r="V490" s="152"/>
      <c r="W490" s="152"/>
      <c r="X490" s="152"/>
      <c r="Y490" s="149"/>
    </row>
    <row r="491" spans="3:25" s="151" customFormat="1" ht="12.75">
      <c r="C491" s="152"/>
      <c r="D491" s="152"/>
      <c r="E491" s="149"/>
      <c r="F491" s="152"/>
      <c r="G491" s="152"/>
      <c r="H491" s="152"/>
      <c r="I491" s="152"/>
      <c r="J491" s="156"/>
      <c r="K491" s="156"/>
      <c r="L491" s="156"/>
      <c r="M491" s="156"/>
      <c r="N491" s="156"/>
      <c r="O491" s="156"/>
      <c r="P491" s="156"/>
      <c r="Q491" s="152"/>
      <c r="R491" s="152"/>
      <c r="S491" s="152"/>
      <c r="T491" s="152"/>
      <c r="U491" s="152"/>
      <c r="V491" s="152"/>
      <c r="W491" s="152"/>
      <c r="X491" s="152"/>
      <c r="Y491" s="149"/>
    </row>
    <row r="492" spans="3:25" s="151" customFormat="1" ht="12.75">
      <c r="C492" s="152"/>
      <c r="D492" s="152"/>
      <c r="E492" s="149"/>
      <c r="F492" s="152"/>
      <c r="G492" s="152"/>
      <c r="H492" s="152"/>
      <c r="I492" s="152"/>
      <c r="J492" s="156"/>
      <c r="K492" s="156"/>
      <c r="L492" s="156"/>
      <c r="M492" s="156"/>
      <c r="N492" s="156"/>
      <c r="O492" s="156"/>
      <c r="P492" s="156"/>
      <c r="Q492" s="152"/>
      <c r="R492" s="152"/>
      <c r="S492" s="152"/>
      <c r="T492" s="152"/>
      <c r="U492" s="152"/>
      <c r="V492" s="152"/>
      <c r="W492" s="152"/>
      <c r="X492" s="152"/>
      <c r="Y492" s="149"/>
    </row>
    <row r="493" spans="3:25" s="151" customFormat="1" ht="12.75">
      <c r="C493" s="152"/>
      <c r="D493" s="152"/>
      <c r="E493" s="149"/>
      <c r="F493" s="152"/>
      <c r="G493" s="152"/>
      <c r="H493" s="152"/>
      <c r="I493" s="152"/>
      <c r="J493" s="156"/>
      <c r="K493" s="156"/>
      <c r="L493" s="156"/>
      <c r="M493" s="156"/>
      <c r="N493" s="156"/>
      <c r="O493" s="156"/>
      <c r="P493" s="156"/>
      <c r="Q493" s="152"/>
      <c r="R493" s="152"/>
      <c r="S493" s="152"/>
      <c r="T493" s="152"/>
      <c r="U493" s="152"/>
      <c r="V493" s="152"/>
      <c r="W493" s="152"/>
      <c r="X493" s="152"/>
      <c r="Y493" s="149"/>
    </row>
    <row r="494" spans="3:25" s="151" customFormat="1" ht="12.75">
      <c r="C494" s="152"/>
      <c r="D494" s="152"/>
      <c r="E494" s="149"/>
      <c r="F494" s="152"/>
      <c r="G494" s="152"/>
      <c r="H494" s="152"/>
      <c r="I494" s="152"/>
      <c r="J494" s="156"/>
      <c r="K494" s="156"/>
      <c r="L494" s="156"/>
      <c r="M494" s="156"/>
      <c r="N494" s="156"/>
      <c r="O494" s="156"/>
      <c r="P494" s="156"/>
      <c r="Q494" s="152"/>
      <c r="R494" s="152"/>
      <c r="S494" s="152"/>
      <c r="T494" s="152"/>
      <c r="U494" s="152"/>
      <c r="V494" s="152"/>
      <c r="W494" s="152"/>
      <c r="X494" s="152"/>
      <c r="Y494" s="149"/>
    </row>
    <row r="495" spans="3:25" s="151" customFormat="1" ht="12.75">
      <c r="C495" s="152"/>
      <c r="D495" s="152"/>
      <c r="E495" s="149"/>
      <c r="F495" s="152"/>
      <c r="G495" s="152"/>
      <c r="H495" s="152"/>
      <c r="I495" s="152"/>
      <c r="J495" s="156"/>
      <c r="K495" s="156"/>
      <c r="L495" s="156"/>
      <c r="M495" s="156"/>
      <c r="N495" s="156"/>
      <c r="O495" s="156"/>
      <c r="P495" s="156"/>
      <c r="Q495" s="152"/>
      <c r="R495" s="152"/>
      <c r="S495" s="152"/>
      <c r="T495" s="152"/>
      <c r="U495" s="152"/>
      <c r="V495" s="152"/>
      <c r="W495" s="152"/>
      <c r="X495" s="152"/>
      <c r="Y495" s="149"/>
    </row>
    <row r="496" spans="3:25" s="151" customFormat="1" ht="12.75">
      <c r="C496" s="152"/>
      <c r="D496" s="152"/>
      <c r="E496" s="149"/>
      <c r="F496" s="152"/>
      <c r="G496" s="152"/>
      <c r="H496" s="152"/>
      <c r="I496" s="152"/>
      <c r="J496" s="156"/>
      <c r="K496" s="156"/>
      <c r="L496" s="156"/>
      <c r="M496" s="156"/>
      <c r="N496" s="156"/>
      <c r="O496" s="156"/>
      <c r="P496" s="156"/>
      <c r="Q496" s="152"/>
      <c r="R496" s="152"/>
      <c r="S496" s="152"/>
      <c r="T496" s="152"/>
      <c r="U496" s="152"/>
      <c r="V496" s="152"/>
      <c r="W496" s="152"/>
      <c r="X496" s="152"/>
      <c r="Y496" s="149"/>
    </row>
    <row r="497" spans="3:25" s="151" customFormat="1" ht="12.75">
      <c r="C497" s="152"/>
      <c r="D497" s="152"/>
      <c r="E497" s="149"/>
      <c r="F497" s="152"/>
      <c r="G497" s="152"/>
      <c r="H497" s="152"/>
      <c r="I497" s="152"/>
      <c r="J497" s="156"/>
      <c r="K497" s="156"/>
      <c r="L497" s="156"/>
      <c r="M497" s="156"/>
      <c r="N497" s="156"/>
      <c r="O497" s="156"/>
      <c r="P497" s="156"/>
      <c r="Q497" s="152"/>
      <c r="R497" s="152"/>
      <c r="S497" s="152"/>
      <c r="T497" s="152"/>
      <c r="U497" s="152"/>
      <c r="V497" s="152"/>
      <c r="W497" s="152"/>
      <c r="X497" s="152"/>
      <c r="Y497" s="149"/>
    </row>
    <row r="498" spans="3:25" s="151" customFormat="1" ht="12.75">
      <c r="C498" s="152"/>
      <c r="D498" s="152"/>
      <c r="E498" s="149"/>
      <c r="F498" s="152"/>
      <c r="G498" s="152"/>
      <c r="H498" s="152"/>
      <c r="I498" s="152"/>
      <c r="J498" s="156"/>
      <c r="K498" s="156"/>
      <c r="L498" s="156"/>
      <c r="M498" s="156"/>
      <c r="N498" s="156"/>
      <c r="O498" s="156"/>
      <c r="P498" s="156"/>
      <c r="Q498" s="152"/>
      <c r="R498" s="152"/>
      <c r="S498" s="152"/>
      <c r="T498" s="152"/>
      <c r="U498" s="152"/>
      <c r="V498" s="152"/>
      <c r="W498" s="152"/>
      <c r="X498" s="152"/>
      <c r="Y498" s="149"/>
    </row>
    <row r="499" spans="3:25" s="151" customFormat="1" ht="12.75">
      <c r="C499" s="152"/>
      <c r="D499" s="152"/>
      <c r="E499" s="149"/>
      <c r="F499" s="152"/>
      <c r="G499" s="152"/>
      <c r="H499" s="152"/>
      <c r="I499" s="152"/>
      <c r="J499" s="156"/>
      <c r="K499" s="156"/>
      <c r="L499" s="156"/>
      <c r="M499" s="156"/>
      <c r="N499" s="156"/>
      <c r="O499" s="156"/>
      <c r="P499" s="156"/>
      <c r="Q499" s="152"/>
      <c r="R499" s="152"/>
      <c r="S499" s="152"/>
      <c r="T499" s="152"/>
      <c r="U499" s="152"/>
      <c r="V499" s="152"/>
      <c r="W499" s="152"/>
      <c r="X499" s="152"/>
      <c r="Y499" s="149"/>
    </row>
    <row r="500" spans="3:25" s="151" customFormat="1" ht="12.75">
      <c r="C500" s="152"/>
      <c r="D500" s="152"/>
      <c r="E500" s="149"/>
      <c r="F500" s="152"/>
      <c r="G500" s="152"/>
      <c r="H500" s="152"/>
      <c r="I500" s="152"/>
      <c r="J500" s="156"/>
      <c r="K500" s="156"/>
      <c r="L500" s="156"/>
      <c r="M500" s="156"/>
      <c r="N500" s="156"/>
      <c r="O500" s="156"/>
      <c r="P500" s="156"/>
      <c r="Q500" s="152"/>
      <c r="R500" s="152"/>
      <c r="S500" s="152"/>
      <c r="T500" s="152"/>
      <c r="U500" s="152"/>
      <c r="V500" s="152"/>
      <c r="W500" s="152"/>
      <c r="X500" s="152"/>
      <c r="Y500" s="149"/>
    </row>
    <row r="501" spans="3:25" s="151" customFormat="1" ht="12.75">
      <c r="C501" s="152"/>
      <c r="D501" s="152"/>
      <c r="E501" s="149"/>
      <c r="F501" s="152"/>
      <c r="G501" s="152"/>
      <c r="H501" s="152"/>
      <c r="I501" s="152"/>
      <c r="J501" s="156"/>
      <c r="K501" s="156"/>
      <c r="L501" s="156"/>
      <c r="M501" s="156"/>
      <c r="N501" s="156"/>
      <c r="O501" s="156"/>
      <c r="P501" s="156"/>
      <c r="Q501" s="152"/>
      <c r="R501" s="152"/>
      <c r="S501" s="152"/>
      <c r="T501" s="152"/>
      <c r="U501" s="152"/>
      <c r="V501" s="152"/>
      <c r="W501" s="152"/>
      <c r="X501" s="152"/>
      <c r="Y501" s="149"/>
    </row>
    <row r="502" spans="3:25" s="151" customFormat="1" ht="12.75">
      <c r="C502" s="152"/>
      <c r="D502" s="152"/>
      <c r="E502" s="149"/>
      <c r="F502" s="152"/>
      <c r="G502" s="152"/>
      <c r="H502" s="152"/>
      <c r="I502" s="152"/>
      <c r="J502" s="156"/>
      <c r="K502" s="156"/>
      <c r="L502" s="156"/>
      <c r="M502" s="156"/>
      <c r="N502" s="156"/>
      <c r="O502" s="156"/>
      <c r="P502" s="156"/>
      <c r="Q502" s="152"/>
      <c r="R502" s="152"/>
      <c r="S502" s="152"/>
      <c r="T502" s="152"/>
      <c r="U502" s="152"/>
      <c r="V502" s="152"/>
      <c r="W502" s="152"/>
      <c r="X502" s="152"/>
      <c r="Y502" s="149"/>
    </row>
    <row r="503" spans="3:25" s="151" customFormat="1" ht="12.75">
      <c r="C503" s="152"/>
      <c r="D503" s="152"/>
      <c r="E503" s="149"/>
      <c r="F503" s="152"/>
      <c r="G503" s="152"/>
      <c r="H503" s="152"/>
      <c r="I503" s="152"/>
      <c r="J503" s="156"/>
      <c r="K503" s="156"/>
      <c r="L503" s="156"/>
      <c r="M503" s="156"/>
      <c r="N503" s="156"/>
      <c r="O503" s="156"/>
      <c r="P503" s="156"/>
      <c r="Q503" s="152"/>
      <c r="R503" s="152"/>
      <c r="S503" s="152"/>
      <c r="T503" s="152"/>
      <c r="U503" s="152"/>
      <c r="V503" s="152"/>
      <c r="W503" s="152"/>
      <c r="X503" s="152"/>
      <c r="Y503" s="149"/>
    </row>
    <row r="504" spans="3:25" s="151" customFormat="1" ht="12.75">
      <c r="C504" s="152"/>
      <c r="D504" s="152"/>
      <c r="E504" s="149"/>
      <c r="F504" s="152"/>
      <c r="G504" s="152"/>
      <c r="H504" s="152"/>
      <c r="I504" s="152"/>
      <c r="J504" s="156"/>
      <c r="K504" s="156"/>
      <c r="L504" s="156"/>
      <c r="M504" s="156"/>
      <c r="N504" s="156"/>
      <c r="O504" s="156"/>
      <c r="P504" s="156"/>
      <c r="Q504" s="152"/>
      <c r="R504" s="152"/>
      <c r="S504" s="152"/>
      <c r="T504" s="152"/>
      <c r="U504" s="152"/>
      <c r="V504" s="152"/>
      <c r="W504" s="152"/>
      <c r="X504" s="152"/>
      <c r="Y504" s="149"/>
    </row>
    <row r="505" spans="3:25" s="151" customFormat="1" ht="12.75">
      <c r="C505" s="152"/>
      <c r="D505" s="152"/>
      <c r="E505" s="149"/>
      <c r="F505" s="152"/>
      <c r="G505" s="152"/>
      <c r="H505" s="152"/>
      <c r="I505" s="152"/>
      <c r="J505" s="156"/>
      <c r="K505" s="156"/>
      <c r="L505" s="156"/>
      <c r="M505" s="156"/>
      <c r="N505" s="156"/>
      <c r="O505" s="156"/>
      <c r="P505" s="156"/>
      <c r="Q505" s="152"/>
      <c r="R505" s="152"/>
      <c r="S505" s="152"/>
      <c r="T505" s="152"/>
      <c r="U505" s="152"/>
      <c r="V505" s="152"/>
      <c r="W505" s="152"/>
      <c r="X505" s="152"/>
      <c r="Y505" s="149"/>
    </row>
    <row r="506" spans="3:25" s="151" customFormat="1" ht="12.75">
      <c r="C506" s="152"/>
      <c r="D506" s="152"/>
      <c r="E506" s="149"/>
      <c r="F506" s="152"/>
      <c r="G506" s="152"/>
      <c r="H506" s="152"/>
      <c r="I506" s="152"/>
      <c r="J506" s="156"/>
      <c r="K506" s="156"/>
      <c r="L506" s="156"/>
      <c r="M506" s="156"/>
      <c r="N506" s="156"/>
      <c r="O506" s="156"/>
      <c r="P506" s="156"/>
      <c r="Q506" s="152"/>
      <c r="R506" s="152"/>
      <c r="S506" s="152"/>
      <c r="T506" s="152"/>
      <c r="U506" s="152"/>
      <c r="V506" s="152"/>
      <c r="W506" s="152"/>
      <c r="X506" s="152"/>
      <c r="Y506" s="149"/>
    </row>
    <row r="507" spans="3:25" s="151" customFormat="1" ht="12.75">
      <c r="C507" s="152"/>
      <c r="D507" s="152"/>
      <c r="E507" s="149"/>
      <c r="F507" s="152"/>
      <c r="G507" s="152"/>
      <c r="H507" s="152"/>
      <c r="I507" s="152"/>
      <c r="J507" s="156"/>
      <c r="K507" s="156"/>
      <c r="L507" s="156"/>
      <c r="M507" s="156"/>
      <c r="N507" s="156"/>
      <c r="O507" s="156"/>
      <c r="P507" s="156"/>
      <c r="Q507" s="152"/>
      <c r="R507" s="152"/>
      <c r="S507" s="152"/>
      <c r="T507" s="152"/>
      <c r="U507" s="152"/>
      <c r="V507" s="152"/>
      <c r="W507" s="152"/>
      <c r="X507" s="152"/>
      <c r="Y507" s="149"/>
    </row>
    <row r="508" spans="3:25" s="151" customFormat="1" ht="12.75">
      <c r="C508" s="152"/>
      <c r="D508" s="152"/>
      <c r="E508" s="149"/>
      <c r="F508" s="152"/>
      <c r="G508" s="152"/>
      <c r="H508" s="152"/>
      <c r="I508" s="152"/>
      <c r="J508" s="156"/>
      <c r="K508" s="156"/>
      <c r="L508" s="156"/>
      <c r="M508" s="156"/>
      <c r="N508" s="156"/>
      <c r="O508" s="156"/>
      <c r="P508" s="156"/>
      <c r="Q508" s="152"/>
      <c r="R508" s="152"/>
      <c r="S508" s="152"/>
      <c r="T508" s="152"/>
      <c r="U508" s="152"/>
      <c r="V508" s="152"/>
      <c r="W508" s="152"/>
      <c r="X508" s="152"/>
      <c r="Y508" s="149"/>
    </row>
    <row r="509" spans="3:25" s="151" customFormat="1" ht="12.75">
      <c r="C509" s="152"/>
      <c r="D509" s="152"/>
      <c r="E509" s="149"/>
      <c r="F509" s="152"/>
      <c r="G509" s="152"/>
      <c r="H509" s="152"/>
      <c r="I509" s="152"/>
      <c r="J509" s="156"/>
      <c r="K509" s="156"/>
      <c r="L509" s="156"/>
      <c r="M509" s="156"/>
      <c r="N509" s="156"/>
      <c r="O509" s="156"/>
      <c r="P509" s="156"/>
      <c r="Q509" s="152"/>
      <c r="R509" s="152"/>
      <c r="S509" s="152"/>
      <c r="T509" s="152"/>
      <c r="U509" s="152"/>
      <c r="V509" s="152"/>
      <c r="W509" s="152"/>
      <c r="X509" s="152"/>
      <c r="Y509" s="149"/>
    </row>
    <row r="510" spans="3:25" s="151" customFormat="1" ht="12.75">
      <c r="C510" s="152"/>
      <c r="D510" s="152"/>
      <c r="E510" s="149"/>
      <c r="F510" s="152"/>
      <c r="G510" s="152"/>
      <c r="H510" s="152"/>
      <c r="I510" s="152"/>
      <c r="J510" s="156"/>
      <c r="K510" s="156"/>
      <c r="L510" s="156"/>
      <c r="M510" s="156"/>
      <c r="N510" s="156"/>
      <c r="O510" s="156"/>
      <c r="P510" s="156"/>
      <c r="Q510" s="152"/>
      <c r="R510" s="152"/>
      <c r="S510" s="152"/>
      <c r="T510" s="152"/>
      <c r="U510" s="152"/>
      <c r="V510" s="152"/>
      <c r="W510" s="152"/>
      <c r="X510" s="152"/>
      <c r="Y510" s="149"/>
    </row>
    <row r="511" spans="3:25" s="151" customFormat="1" ht="12.75">
      <c r="C511" s="152"/>
      <c r="D511" s="152"/>
      <c r="E511" s="149"/>
      <c r="F511" s="152"/>
      <c r="G511" s="152"/>
      <c r="H511" s="152"/>
      <c r="I511" s="152"/>
      <c r="J511" s="156"/>
      <c r="K511" s="156"/>
      <c r="L511" s="156"/>
      <c r="M511" s="156"/>
      <c r="N511" s="156"/>
      <c r="O511" s="156"/>
      <c r="P511" s="156"/>
      <c r="Q511" s="152"/>
      <c r="R511" s="152"/>
      <c r="S511" s="152"/>
      <c r="T511" s="152"/>
      <c r="U511" s="152"/>
      <c r="V511" s="152"/>
      <c r="W511" s="152"/>
      <c r="X511" s="152"/>
      <c r="Y511" s="149"/>
    </row>
    <row r="512" spans="3:25" s="151" customFormat="1" ht="12.75">
      <c r="C512" s="152"/>
      <c r="D512" s="152"/>
      <c r="E512" s="149"/>
      <c r="F512" s="152"/>
      <c r="G512" s="152"/>
      <c r="H512" s="152"/>
      <c r="I512" s="152"/>
      <c r="J512" s="156"/>
      <c r="K512" s="156"/>
      <c r="L512" s="156"/>
      <c r="M512" s="156"/>
      <c r="N512" s="156"/>
      <c r="O512" s="156"/>
      <c r="P512" s="156"/>
      <c r="Q512" s="152"/>
      <c r="R512" s="152"/>
      <c r="S512" s="152"/>
      <c r="T512" s="152"/>
      <c r="U512" s="152"/>
      <c r="V512" s="152"/>
      <c r="W512" s="152"/>
      <c r="X512" s="152"/>
      <c r="Y512" s="149"/>
    </row>
    <row r="513" spans="3:25" s="151" customFormat="1" ht="12.75">
      <c r="C513" s="152"/>
      <c r="D513" s="152"/>
      <c r="E513" s="149"/>
      <c r="F513" s="152"/>
      <c r="G513" s="152"/>
      <c r="H513" s="152"/>
      <c r="I513" s="152"/>
      <c r="J513" s="156"/>
      <c r="K513" s="156"/>
      <c r="L513" s="156"/>
      <c r="M513" s="156"/>
      <c r="N513" s="156"/>
      <c r="O513" s="156"/>
      <c r="P513" s="156"/>
      <c r="Q513" s="152"/>
      <c r="R513" s="152"/>
      <c r="S513" s="152"/>
      <c r="T513" s="152"/>
      <c r="U513" s="152"/>
      <c r="V513" s="152"/>
      <c r="W513" s="152"/>
      <c r="X513" s="152"/>
      <c r="Y513" s="149"/>
    </row>
    <row r="514" spans="3:25" s="151" customFormat="1" ht="12.75">
      <c r="C514" s="152"/>
      <c r="D514" s="152"/>
      <c r="E514" s="149"/>
      <c r="F514" s="152"/>
      <c r="G514" s="152"/>
      <c r="H514" s="152"/>
      <c r="I514" s="152"/>
      <c r="J514" s="156"/>
      <c r="K514" s="156"/>
      <c r="L514" s="156"/>
      <c r="M514" s="156"/>
      <c r="N514" s="156"/>
      <c r="O514" s="156"/>
      <c r="P514" s="156"/>
      <c r="Q514" s="152"/>
      <c r="R514" s="152"/>
      <c r="S514" s="152"/>
      <c r="T514" s="152"/>
      <c r="U514" s="152"/>
      <c r="V514" s="152"/>
      <c r="W514" s="152"/>
      <c r="X514" s="152"/>
      <c r="Y514" s="149"/>
    </row>
    <row r="515" spans="3:25" s="151" customFormat="1" ht="12.75">
      <c r="C515" s="152"/>
      <c r="D515" s="152"/>
      <c r="E515" s="149"/>
      <c r="F515" s="152"/>
      <c r="G515" s="152"/>
      <c r="H515" s="152"/>
      <c r="I515" s="152"/>
      <c r="J515" s="156"/>
      <c r="K515" s="156"/>
      <c r="L515" s="156"/>
      <c r="M515" s="156"/>
      <c r="N515" s="156"/>
      <c r="O515" s="156"/>
      <c r="P515" s="156"/>
      <c r="Q515" s="152"/>
      <c r="R515" s="152"/>
      <c r="S515" s="152"/>
      <c r="T515" s="152"/>
      <c r="U515" s="152"/>
      <c r="V515" s="152"/>
      <c r="W515" s="152"/>
      <c r="X515" s="152"/>
      <c r="Y515" s="149"/>
    </row>
    <row r="516" spans="3:25" s="151" customFormat="1" ht="12.75">
      <c r="C516" s="152"/>
      <c r="D516" s="152"/>
      <c r="E516" s="149"/>
      <c r="F516" s="152"/>
      <c r="G516" s="152"/>
      <c r="H516" s="152"/>
      <c r="I516" s="152"/>
      <c r="J516" s="156"/>
      <c r="K516" s="156"/>
      <c r="L516" s="156"/>
      <c r="M516" s="156"/>
      <c r="N516" s="156"/>
      <c r="O516" s="156"/>
      <c r="P516" s="156"/>
      <c r="Q516" s="152"/>
      <c r="R516" s="152"/>
      <c r="S516" s="152"/>
      <c r="T516" s="152"/>
      <c r="U516" s="152"/>
      <c r="V516" s="152"/>
      <c r="W516" s="152"/>
      <c r="X516" s="152"/>
      <c r="Y516" s="149"/>
    </row>
    <row r="517" spans="3:25" s="151" customFormat="1" ht="12.75">
      <c r="C517" s="152"/>
      <c r="D517" s="152"/>
      <c r="E517" s="149"/>
      <c r="F517" s="152"/>
      <c r="G517" s="152"/>
      <c r="H517" s="152"/>
      <c r="I517" s="152"/>
      <c r="J517" s="156"/>
      <c r="K517" s="156"/>
      <c r="L517" s="156"/>
      <c r="M517" s="156"/>
      <c r="N517" s="156"/>
      <c r="O517" s="156"/>
      <c r="P517" s="156"/>
      <c r="Q517" s="152"/>
      <c r="R517" s="152"/>
      <c r="S517" s="152"/>
      <c r="T517" s="152"/>
      <c r="U517" s="152"/>
      <c r="V517" s="152"/>
      <c r="W517" s="152"/>
      <c r="X517" s="152"/>
      <c r="Y517" s="149"/>
    </row>
    <row r="518" spans="3:25" s="151" customFormat="1" ht="12.75">
      <c r="C518" s="152"/>
      <c r="D518" s="152"/>
      <c r="E518" s="149"/>
      <c r="F518" s="152"/>
      <c r="G518" s="152"/>
      <c r="H518" s="152"/>
      <c r="I518" s="152"/>
      <c r="J518" s="156"/>
      <c r="K518" s="156"/>
      <c r="L518" s="156"/>
      <c r="M518" s="156"/>
      <c r="N518" s="156"/>
      <c r="O518" s="156"/>
      <c r="P518" s="156"/>
      <c r="Q518" s="152"/>
      <c r="R518" s="152"/>
      <c r="S518" s="152"/>
      <c r="T518" s="152"/>
      <c r="U518" s="152"/>
      <c r="V518" s="152"/>
      <c r="W518" s="152"/>
      <c r="X518" s="152"/>
      <c r="Y518" s="149"/>
    </row>
    <row r="519" spans="3:25" s="151" customFormat="1" ht="12.75">
      <c r="C519" s="152"/>
      <c r="D519" s="152"/>
      <c r="E519" s="149"/>
      <c r="F519" s="152"/>
      <c r="G519" s="152"/>
      <c r="H519" s="152"/>
      <c r="I519" s="152"/>
      <c r="J519" s="156"/>
      <c r="K519" s="156"/>
      <c r="L519" s="156"/>
      <c r="M519" s="156"/>
      <c r="N519" s="156"/>
      <c r="O519" s="156"/>
      <c r="P519" s="156"/>
      <c r="Q519" s="152"/>
      <c r="R519" s="152"/>
      <c r="S519" s="152"/>
      <c r="T519" s="152"/>
      <c r="U519" s="152"/>
      <c r="V519" s="152"/>
      <c r="W519" s="152"/>
      <c r="X519" s="152"/>
      <c r="Y519" s="149"/>
    </row>
    <row r="520" spans="3:25" s="151" customFormat="1" ht="12.75">
      <c r="C520" s="152"/>
      <c r="D520" s="152"/>
      <c r="E520" s="149"/>
      <c r="F520" s="152"/>
      <c r="G520" s="152"/>
      <c r="H520" s="152"/>
      <c r="I520" s="152"/>
      <c r="J520" s="156"/>
      <c r="K520" s="156"/>
      <c r="L520" s="156"/>
      <c r="M520" s="156"/>
      <c r="N520" s="156"/>
      <c r="O520" s="156"/>
      <c r="P520" s="156"/>
      <c r="Q520" s="152"/>
      <c r="R520" s="152"/>
      <c r="S520" s="152"/>
      <c r="T520" s="152"/>
      <c r="U520" s="152"/>
      <c r="V520" s="152"/>
      <c r="W520" s="152"/>
      <c r="X520" s="152"/>
      <c r="Y520" s="149"/>
    </row>
    <row r="521" spans="3:25" s="151" customFormat="1" ht="12.75">
      <c r="C521" s="152"/>
      <c r="D521" s="152"/>
      <c r="E521" s="149"/>
      <c r="F521" s="152"/>
      <c r="G521" s="152"/>
      <c r="H521" s="152"/>
      <c r="I521" s="152"/>
      <c r="J521" s="156"/>
      <c r="K521" s="156"/>
      <c r="L521" s="156"/>
      <c r="M521" s="156"/>
      <c r="N521" s="156"/>
      <c r="O521" s="156"/>
      <c r="P521" s="156"/>
      <c r="Q521" s="152"/>
      <c r="R521" s="152"/>
      <c r="S521" s="152"/>
      <c r="T521" s="152"/>
      <c r="U521" s="152"/>
      <c r="V521" s="152"/>
      <c r="W521" s="152"/>
      <c r="X521" s="152"/>
      <c r="Y521" s="149"/>
    </row>
    <row r="522" spans="3:25" s="151" customFormat="1" ht="12.75">
      <c r="C522" s="152"/>
      <c r="D522" s="152"/>
      <c r="E522" s="149"/>
      <c r="F522" s="152"/>
      <c r="G522" s="152"/>
      <c r="H522" s="152"/>
      <c r="I522" s="152"/>
      <c r="J522" s="156"/>
      <c r="K522" s="156"/>
      <c r="L522" s="156"/>
      <c r="M522" s="156"/>
      <c r="N522" s="156"/>
      <c r="O522" s="156"/>
      <c r="P522" s="156"/>
      <c r="Q522" s="152"/>
      <c r="R522" s="152"/>
      <c r="S522" s="152"/>
      <c r="T522" s="152"/>
      <c r="U522" s="152"/>
      <c r="V522" s="152"/>
      <c r="W522" s="152"/>
      <c r="X522" s="152"/>
      <c r="Y522" s="149"/>
    </row>
    <row r="523" spans="3:25" s="151" customFormat="1" ht="12.75">
      <c r="C523" s="152"/>
      <c r="D523" s="152"/>
      <c r="E523" s="149"/>
      <c r="F523" s="152"/>
      <c r="G523" s="152"/>
      <c r="H523" s="152"/>
      <c r="I523" s="152"/>
      <c r="J523" s="156"/>
      <c r="K523" s="156"/>
      <c r="L523" s="156"/>
      <c r="M523" s="156"/>
      <c r="N523" s="156"/>
      <c r="O523" s="156"/>
      <c r="P523" s="156"/>
      <c r="Q523" s="152"/>
      <c r="R523" s="152"/>
      <c r="S523" s="152"/>
      <c r="T523" s="152"/>
      <c r="U523" s="152"/>
      <c r="V523" s="152"/>
      <c r="W523" s="152"/>
      <c r="X523" s="152"/>
      <c r="Y523" s="149"/>
    </row>
    <row r="524" spans="3:25" s="151" customFormat="1" ht="12.75">
      <c r="C524" s="152"/>
      <c r="D524" s="152"/>
      <c r="E524" s="149"/>
      <c r="F524" s="152"/>
      <c r="G524" s="152"/>
      <c r="H524" s="152"/>
      <c r="I524" s="152"/>
      <c r="J524" s="156"/>
      <c r="K524" s="156"/>
      <c r="L524" s="156"/>
      <c r="M524" s="156"/>
      <c r="N524" s="156"/>
      <c r="O524" s="156"/>
      <c r="P524" s="156"/>
      <c r="Q524" s="152"/>
      <c r="R524" s="152"/>
      <c r="S524" s="152"/>
      <c r="T524" s="152"/>
      <c r="U524" s="152"/>
      <c r="V524" s="152"/>
      <c r="W524" s="152"/>
      <c r="X524" s="152"/>
      <c r="Y524" s="149"/>
    </row>
    <row r="525" spans="3:25" s="151" customFormat="1" ht="12.75">
      <c r="C525" s="152"/>
      <c r="D525" s="152"/>
      <c r="E525" s="149"/>
      <c r="F525" s="152"/>
      <c r="G525" s="152"/>
      <c r="H525" s="152"/>
      <c r="I525" s="152"/>
      <c r="J525" s="156"/>
      <c r="K525" s="156"/>
      <c r="L525" s="156"/>
      <c r="M525" s="156"/>
      <c r="N525" s="156"/>
      <c r="O525" s="156"/>
      <c r="P525" s="156"/>
      <c r="Q525" s="152"/>
      <c r="R525" s="152"/>
      <c r="S525" s="152"/>
      <c r="T525" s="152"/>
      <c r="U525" s="152"/>
      <c r="V525" s="152"/>
      <c r="W525" s="152"/>
      <c r="X525" s="152"/>
      <c r="Y525" s="149"/>
    </row>
    <row r="526" spans="3:25" s="151" customFormat="1" ht="12.75">
      <c r="C526" s="152"/>
      <c r="D526" s="152"/>
      <c r="E526" s="149"/>
      <c r="F526" s="152"/>
      <c r="G526" s="152"/>
      <c r="H526" s="152"/>
      <c r="I526" s="152"/>
      <c r="J526" s="156"/>
      <c r="K526" s="156"/>
      <c r="L526" s="156"/>
      <c r="M526" s="156"/>
      <c r="N526" s="156"/>
      <c r="O526" s="156"/>
      <c r="P526" s="156"/>
      <c r="Q526" s="152"/>
      <c r="R526" s="152"/>
      <c r="S526" s="152"/>
      <c r="T526" s="152"/>
      <c r="U526" s="152"/>
      <c r="V526" s="152"/>
      <c r="W526" s="152"/>
      <c r="X526" s="152"/>
      <c r="Y526" s="149"/>
    </row>
    <row r="527" spans="3:25" s="151" customFormat="1" ht="12.75">
      <c r="C527" s="152"/>
      <c r="D527" s="152"/>
      <c r="E527" s="149"/>
      <c r="F527" s="152"/>
      <c r="G527" s="152"/>
      <c r="H527" s="152"/>
      <c r="I527" s="152"/>
      <c r="J527" s="156"/>
      <c r="K527" s="156"/>
      <c r="L527" s="156"/>
      <c r="M527" s="156"/>
      <c r="N527" s="156"/>
      <c r="O527" s="156"/>
      <c r="P527" s="156"/>
      <c r="Q527" s="152"/>
      <c r="R527" s="152"/>
      <c r="S527" s="152"/>
      <c r="T527" s="152"/>
      <c r="U527" s="152"/>
      <c r="V527" s="152"/>
      <c r="W527" s="152"/>
      <c r="X527" s="152"/>
      <c r="Y527" s="149"/>
    </row>
    <row r="528" spans="3:25" s="151" customFormat="1" ht="12.75">
      <c r="C528" s="152"/>
      <c r="D528" s="152"/>
      <c r="E528" s="149"/>
      <c r="F528" s="152"/>
      <c r="G528" s="152"/>
      <c r="H528" s="152"/>
      <c r="I528" s="152"/>
      <c r="J528" s="156"/>
      <c r="K528" s="156"/>
      <c r="L528" s="156"/>
      <c r="M528" s="156"/>
      <c r="N528" s="156"/>
      <c r="O528" s="156"/>
      <c r="P528" s="156"/>
      <c r="Q528" s="152"/>
      <c r="R528" s="152"/>
      <c r="S528" s="152"/>
      <c r="T528" s="152"/>
      <c r="U528" s="152"/>
      <c r="V528" s="152"/>
      <c r="W528" s="152"/>
      <c r="X528" s="152"/>
      <c r="Y528" s="149"/>
    </row>
    <row r="529" spans="3:25" s="151" customFormat="1" ht="12.75">
      <c r="C529" s="152"/>
      <c r="D529" s="152"/>
      <c r="E529" s="149"/>
      <c r="F529" s="152"/>
      <c r="G529" s="152"/>
      <c r="H529" s="152"/>
      <c r="I529" s="152"/>
      <c r="J529" s="156"/>
      <c r="K529" s="156"/>
      <c r="L529" s="156"/>
      <c r="M529" s="156"/>
      <c r="N529" s="156"/>
      <c r="O529" s="156"/>
      <c r="P529" s="156"/>
      <c r="Q529" s="152"/>
      <c r="R529" s="152"/>
      <c r="S529" s="152"/>
      <c r="T529" s="152"/>
      <c r="U529" s="152"/>
      <c r="V529" s="152"/>
      <c r="W529" s="152"/>
      <c r="X529" s="152"/>
      <c r="Y529" s="149"/>
    </row>
    <row r="530" spans="3:25" s="151" customFormat="1" ht="12.75">
      <c r="C530" s="152"/>
      <c r="D530" s="152"/>
      <c r="E530" s="149"/>
      <c r="F530" s="152"/>
      <c r="G530" s="152"/>
      <c r="H530" s="152"/>
      <c r="I530" s="152"/>
      <c r="J530" s="156"/>
      <c r="K530" s="156"/>
      <c r="L530" s="156"/>
      <c r="M530" s="156"/>
      <c r="N530" s="156"/>
      <c r="O530" s="156"/>
      <c r="P530" s="156"/>
      <c r="Q530" s="152"/>
      <c r="R530" s="152"/>
      <c r="S530" s="152"/>
      <c r="T530" s="152"/>
      <c r="U530" s="152"/>
      <c r="V530" s="152"/>
      <c r="W530" s="152"/>
      <c r="X530" s="152"/>
      <c r="Y530" s="149"/>
    </row>
    <row r="531" spans="3:25" s="151" customFormat="1" ht="12.75">
      <c r="C531" s="152"/>
      <c r="D531" s="152"/>
      <c r="E531" s="149"/>
      <c r="F531" s="152"/>
      <c r="G531" s="152"/>
      <c r="H531" s="152"/>
      <c r="I531" s="152"/>
      <c r="J531" s="156"/>
      <c r="K531" s="156"/>
      <c r="L531" s="156"/>
      <c r="M531" s="156"/>
      <c r="N531" s="156"/>
      <c r="O531" s="156"/>
      <c r="P531" s="156"/>
      <c r="Q531" s="152"/>
      <c r="R531" s="152"/>
      <c r="S531" s="152"/>
      <c r="T531" s="152"/>
      <c r="U531" s="152"/>
      <c r="V531" s="152"/>
      <c r="W531" s="152"/>
      <c r="X531" s="152"/>
      <c r="Y531" s="149"/>
    </row>
    <row r="532" spans="3:25" s="151" customFormat="1" ht="12.75">
      <c r="C532" s="152"/>
      <c r="D532" s="152"/>
      <c r="E532" s="149"/>
      <c r="F532" s="152"/>
      <c r="G532" s="152"/>
      <c r="H532" s="152"/>
      <c r="I532" s="152"/>
      <c r="J532" s="156"/>
      <c r="K532" s="156"/>
      <c r="L532" s="156"/>
      <c r="M532" s="156"/>
      <c r="N532" s="156"/>
      <c r="O532" s="156"/>
      <c r="P532" s="156"/>
      <c r="Q532" s="152"/>
      <c r="R532" s="152"/>
      <c r="S532" s="152"/>
      <c r="T532" s="152"/>
      <c r="U532" s="152"/>
      <c r="V532" s="152"/>
      <c r="W532" s="152"/>
      <c r="X532" s="152"/>
      <c r="Y532" s="149"/>
    </row>
    <row r="533" spans="3:25" s="151" customFormat="1" ht="12.75">
      <c r="C533" s="152"/>
      <c r="D533" s="152"/>
      <c r="E533" s="149"/>
      <c r="F533" s="152"/>
      <c r="G533" s="152"/>
      <c r="H533" s="152"/>
      <c r="I533" s="152"/>
      <c r="J533" s="156"/>
      <c r="K533" s="156"/>
      <c r="L533" s="156"/>
      <c r="M533" s="156"/>
      <c r="N533" s="156"/>
      <c r="O533" s="156"/>
      <c r="P533" s="156"/>
      <c r="Q533" s="152"/>
      <c r="R533" s="152"/>
      <c r="S533" s="152"/>
      <c r="T533" s="152"/>
      <c r="U533" s="152"/>
      <c r="V533" s="152"/>
      <c r="W533" s="152"/>
      <c r="X533" s="152"/>
      <c r="Y533" s="149"/>
    </row>
    <row r="534" spans="3:25" s="151" customFormat="1" ht="12.75">
      <c r="C534" s="152"/>
      <c r="D534" s="152"/>
      <c r="E534" s="149"/>
      <c r="F534" s="152"/>
      <c r="G534" s="152"/>
      <c r="H534" s="152"/>
      <c r="I534" s="152"/>
      <c r="J534" s="156"/>
      <c r="K534" s="156"/>
      <c r="L534" s="156"/>
      <c r="M534" s="156"/>
      <c r="N534" s="156"/>
      <c r="O534" s="156"/>
      <c r="P534" s="156"/>
      <c r="Q534" s="152"/>
      <c r="R534" s="152"/>
      <c r="S534" s="152"/>
      <c r="T534" s="152"/>
      <c r="U534" s="152"/>
      <c r="V534" s="152"/>
      <c r="W534" s="152"/>
      <c r="X534" s="152"/>
      <c r="Y534" s="149"/>
    </row>
    <row r="535" spans="3:25" s="151" customFormat="1" ht="12.75">
      <c r="C535" s="152"/>
      <c r="D535" s="152"/>
      <c r="E535" s="149"/>
      <c r="F535" s="152"/>
      <c r="G535" s="152"/>
      <c r="H535" s="152"/>
      <c r="I535" s="152"/>
      <c r="J535" s="156"/>
      <c r="K535" s="156"/>
      <c r="L535" s="156"/>
      <c r="M535" s="156"/>
      <c r="N535" s="156"/>
      <c r="O535" s="156"/>
      <c r="P535" s="156"/>
      <c r="Q535" s="152"/>
      <c r="R535" s="152"/>
      <c r="S535" s="152"/>
      <c r="T535" s="152"/>
      <c r="U535" s="152"/>
      <c r="V535" s="152"/>
      <c r="W535" s="152"/>
      <c r="X535" s="152"/>
      <c r="Y535" s="149"/>
    </row>
    <row r="536" spans="3:25" s="151" customFormat="1" ht="12.75">
      <c r="C536" s="152"/>
      <c r="D536" s="152"/>
      <c r="E536" s="149"/>
      <c r="F536" s="152"/>
      <c r="G536" s="152"/>
      <c r="H536" s="152"/>
      <c r="I536" s="152"/>
      <c r="J536" s="156"/>
      <c r="K536" s="156"/>
      <c r="L536" s="156"/>
      <c r="M536" s="156"/>
      <c r="N536" s="156"/>
      <c r="O536" s="156"/>
      <c r="P536" s="156"/>
      <c r="Q536" s="152"/>
      <c r="R536" s="152"/>
      <c r="S536" s="152"/>
      <c r="T536" s="152"/>
      <c r="U536" s="152"/>
      <c r="V536" s="152"/>
      <c r="W536" s="152"/>
      <c r="X536" s="152"/>
      <c r="Y536" s="149"/>
    </row>
    <row r="537" spans="3:25" s="151" customFormat="1" ht="12.75">
      <c r="C537" s="152"/>
      <c r="D537" s="152"/>
      <c r="E537" s="149"/>
      <c r="F537" s="152"/>
      <c r="G537" s="152"/>
      <c r="H537" s="152"/>
      <c r="I537" s="152"/>
      <c r="J537" s="156"/>
      <c r="K537" s="156"/>
      <c r="L537" s="156"/>
      <c r="M537" s="156"/>
      <c r="N537" s="156"/>
      <c r="O537" s="156"/>
      <c r="P537" s="156"/>
      <c r="Q537" s="152"/>
      <c r="R537" s="152"/>
      <c r="S537" s="152"/>
      <c r="T537" s="152"/>
      <c r="U537" s="152"/>
      <c r="V537" s="152"/>
      <c r="W537" s="152"/>
      <c r="X537" s="152"/>
      <c r="Y537" s="149"/>
    </row>
    <row r="538" spans="3:25" s="151" customFormat="1" ht="12.75">
      <c r="C538" s="152"/>
      <c r="D538" s="152"/>
      <c r="E538" s="149"/>
      <c r="F538" s="152"/>
      <c r="G538" s="152"/>
      <c r="H538" s="152"/>
      <c r="I538" s="152"/>
      <c r="J538" s="156"/>
      <c r="K538" s="156"/>
      <c r="L538" s="156"/>
      <c r="M538" s="156"/>
      <c r="N538" s="156"/>
      <c r="O538" s="156"/>
      <c r="P538" s="156"/>
      <c r="Q538" s="152"/>
      <c r="R538" s="152"/>
      <c r="S538" s="152"/>
      <c r="T538" s="152"/>
      <c r="U538" s="152"/>
      <c r="V538" s="152"/>
      <c r="W538" s="152"/>
      <c r="X538" s="152"/>
      <c r="Y538" s="149"/>
    </row>
    <row r="539" spans="3:25" s="151" customFormat="1" ht="12.75">
      <c r="C539" s="152"/>
      <c r="D539" s="152"/>
      <c r="E539" s="149"/>
      <c r="F539" s="152"/>
      <c r="G539" s="152"/>
      <c r="H539" s="152"/>
      <c r="I539" s="152"/>
      <c r="J539" s="156"/>
      <c r="K539" s="156"/>
      <c r="L539" s="156"/>
      <c r="M539" s="156"/>
      <c r="N539" s="156"/>
      <c r="O539" s="156"/>
      <c r="P539" s="156"/>
      <c r="Q539" s="152"/>
      <c r="R539" s="152"/>
      <c r="S539" s="152"/>
      <c r="T539" s="152"/>
      <c r="U539" s="152"/>
      <c r="V539" s="152"/>
      <c r="W539" s="152"/>
      <c r="X539" s="152"/>
      <c r="Y539" s="149"/>
    </row>
    <row r="540" spans="3:25" s="151" customFormat="1" ht="12.75">
      <c r="C540" s="152"/>
      <c r="D540" s="152"/>
      <c r="E540" s="149"/>
      <c r="F540" s="152"/>
      <c r="G540" s="152"/>
      <c r="H540" s="152"/>
      <c r="I540" s="152"/>
      <c r="J540" s="156"/>
      <c r="K540" s="156"/>
      <c r="L540" s="156"/>
      <c r="M540" s="156"/>
      <c r="N540" s="156"/>
      <c r="O540" s="156"/>
      <c r="P540" s="156"/>
      <c r="Q540" s="152"/>
      <c r="R540" s="152"/>
      <c r="S540" s="152"/>
      <c r="T540" s="152"/>
      <c r="U540" s="152"/>
      <c r="V540" s="152"/>
      <c r="W540" s="152"/>
      <c r="X540" s="152"/>
      <c r="Y540" s="149"/>
    </row>
    <row r="541" spans="3:25" s="151" customFormat="1" ht="12.75">
      <c r="C541" s="152"/>
      <c r="D541" s="152"/>
      <c r="E541" s="149"/>
      <c r="F541" s="152"/>
      <c r="G541" s="152"/>
      <c r="H541" s="152"/>
      <c r="I541" s="152"/>
      <c r="J541" s="156"/>
      <c r="K541" s="156"/>
      <c r="L541" s="156"/>
      <c r="M541" s="156"/>
      <c r="N541" s="156"/>
      <c r="O541" s="156"/>
      <c r="P541" s="156"/>
      <c r="Q541" s="152"/>
      <c r="R541" s="152"/>
      <c r="S541" s="152"/>
      <c r="T541" s="152"/>
      <c r="U541" s="152"/>
      <c r="V541" s="152"/>
      <c r="W541" s="152"/>
      <c r="X541" s="152"/>
      <c r="Y541" s="149"/>
    </row>
    <row r="542" spans="3:25" s="151" customFormat="1" ht="12.75">
      <c r="C542" s="152"/>
      <c r="D542" s="152"/>
      <c r="E542" s="149"/>
      <c r="F542" s="152"/>
      <c r="G542" s="152"/>
      <c r="H542" s="152"/>
      <c r="I542" s="152"/>
      <c r="J542" s="156"/>
      <c r="K542" s="156"/>
      <c r="L542" s="156"/>
      <c r="M542" s="156"/>
      <c r="N542" s="156"/>
      <c r="O542" s="156"/>
      <c r="P542" s="156"/>
      <c r="Q542" s="152"/>
      <c r="R542" s="152"/>
      <c r="S542" s="152"/>
      <c r="T542" s="152"/>
      <c r="U542" s="152"/>
      <c r="V542" s="152"/>
      <c r="W542" s="152"/>
      <c r="X542" s="152"/>
      <c r="Y542" s="149"/>
    </row>
    <row r="543" spans="3:25" s="151" customFormat="1" ht="12.75">
      <c r="C543" s="152"/>
      <c r="D543" s="152"/>
      <c r="E543" s="149"/>
      <c r="F543" s="152"/>
      <c r="G543" s="152"/>
      <c r="H543" s="152"/>
      <c r="I543" s="152"/>
      <c r="J543" s="156"/>
      <c r="K543" s="156"/>
      <c r="L543" s="156"/>
      <c r="M543" s="156"/>
      <c r="N543" s="156"/>
      <c r="O543" s="156"/>
      <c r="P543" s="156"/>
      <c r="Q543" s="152"/>
      <c r="R543" s="152"/>
      <c r="S543" s="152"/>
      <c r="T543" s="152"/>
      <c r="U543" s="152"/>
      <c r="V543" s="152"/>
      <c r="W543" s="152"/>
      <c r="X543" s="152"/>
      <c r="Y543" s="149"/>
    </row>
    <row r="544" spans="3:25" s="151" customFormat="1" ht="12.75">
      <c r="C544" s="152"/>
      <c r="D544" s="152"/>
      <c r="E544" s="149"/>
      <c r="F544" s="152"/>
      <c r="G544" s="152"/>
      <c r="H544" s="152"/>
      <c r="I544" s="152"/>
      <c r="J544" s="156"/>
      <c r="K544" s="156"/>
      <c r="L544" s="156"/>
      <c r="M544" s="156"/>
      <c r="N544" s="156"/>
      <c r="O544" s="156"/>
      <c r="P544" s="156"/>
      <c r="Q544" s="152"/>
      <c r="R544" s="152"/>
      <c r="S544" s="152"/>
      <c r="T544" s="152"/>
      <c r="U544" s="152"/>
      <c r="V544" s="152"/>
      <c r="W544" s="152"/>
      <c r="X544" s="152"/>
      <c r="Y544" s="149"/>
    </row>
    <row r="545" spans="3:25" s="151" customFormat="1" ht="12.75">
      <c r="C545" s="152"/>
      <c r="D545" s="152"/>
      <c r="E545" s="149"/>
      <c r="F545" s="152"/>
      <c r="G545" s="152"/>
      <c r="H545" s="152"/>
      <c r="I545" s="152"/>
      <c r="J545" s="156"/>
      <c r="K545" s="156"/>
      <c r="L545" s="156"/>
      <c r="M545" s="156"/>
      <c r="N545" s="156"/>
      <c r="O545" s="156"/>
      <c r="P545" s="156"/>
      <c r="Q545" s="152"/>
      <c r="R545" s="152"/>
      <c r="S545" s="152"/>
      <c r="T545" s="152"/>
      <c r="U545" s="152"/>
      <c r="V545" s="152"/>
      <c r="W545" s="152"/>
      <c r="X545" s="152"/>
      <c r="Y545" s="149"/>
    </row>
    <row r="546" spans="3:25" s="151" customFormat="1" ht="12.75">
      <c r="C546" s="152"/>
      <c r="D546" s="152"/>
      <c r="E546" s="149"/>
      <c r="F546" s="152"/>
      <c r="G546" s="152"/>
      <c r="H546" s="152"/>
      <c r="I546" s="152"/>
      <c r="J546" s="156"/>
      <c r="K546" s="156"/>
      <c r="L546" s="156"/>
      <c r="M546" s="156"/>
      <c r="N546" s="156"/>
      <c r="O546" s="156"/>
      <c r="P546" s="156"/>
      <c r="Q546" s="152"/>
      <c r="R546" s="152"/>
      <c r="S546" s="152"/>
      <c r="T546" s="152"/>
      <c r="U546" s="152"/>
      <c r="V546" s="152"/>
      <c r="W546" s="152"/>
      <c r="X546" s="152"/>
      <c r="Y546" s="149"/>
    </row>
    <row r="547" spans="3:25" s="151" customFormat="1" ht="12.75">
      <c r="C547" s="152"/>
      <c r="D547" s="152"/>
      <c r="E547" s="149"/>
      <c r="F547" s="152"/>
      <c r="G547" s="152"/>
      <c r="H547" s="152"/>
      <c r="I547" s="152"/>
      <c r="J547" s="156"/>
      <c r="K547" s="156"/>
      <c r="L547" s="156"/>
      <c r="M547" s="156"/>
      <c r="N547" s="156"/>
      <c r="O547" s="156"/>
      <c r="P547" s="156"/>
      <c r="Q547" s="152"/>
      <c r="R547" s="152"/>
      <c r="S547" s="152"/>
      <c r="T547" s="152"/>
      <c r="U547" s="152"/>
      <c r="V547" s="152"/>
      <c r="W547" s="152"/>
      <c r="X547" s="152"/>
      <c r="Y547" s="149"/>
    </row>
    <row r="548" spans="3:25" s="151" customFormat="1" ht="12.75">
      <c r="C548" s="152"/>
      <c r="D548" s="152"/>
      <c r="E548" s="149"/>
      <c r="F548" s="152"/>
      <c r="G548" s="152"/>
      <c r="H548" s="152"/>
      <c r="I548" s="152"/>
      <c r="J548" s="156"/>
      <c r="K548" s="156"/>
      <c r="L548" s="156"/>
      <c r="M548" s="156"/>
      <c r="N548" s="156"/>
      <c r="O548" s="156"/>
      <c r="P548" s="156"/>
      <c r="Q548" s="152"/>
      <c r="R548" s="152"/>
      <c r="S548" s="152"/>
      <c r="T548" s="152"/>
      <c r="U548" s="152"/>
      <c r="V548" s="152"/>
      <c r="W548" s="152"/>
      <c r="X548" s="152"/>
      <c r="Y548" s="149"/>
    </row>
    <row r="549" spans="3:25" s="151" customFormat="1" ht="12.75">
      <c r="C549" s="152"/>
      <c r="D549" s="152"/>
      <c r="E549" s="149"/>
      <c r="F549" s="152"/>
      <c r="G549" s="152"/>
      <c r="H549" s="152"/>
      <c r="I549" s="152"/>
      <c r="J549" s="156"/>
      <c r="K549" s="156"/>
      <c r="L549" s="156"/>
      <c r="M549" s="156"/>
      <c r="N549" s="156"/>
      <c r="O549" s="156"/>
      <c r="P549" s="156"/>
      <c r="Q549" s="152"/>
      <c r="R549" s="152"/>
      <c r="S549" s="152"/>
      <c r="T549" s="152"/>
      <c r="U549" s="152"/>
      <c r="V549" s="152"/>
      <c r="W549" s="152"/>
      <c r="X549" s="152"/>
      <c r="Y549" s="149"/>
    </row>
    <row r="550" spans="3:25" s="151" customFormat="1" ht="12.75">
      <c r="C550" s="152"/>
      <c r="D550" s="152"/>
      <c r="E550" s="149"/>
      <c r="F550" s="152"/>
      <c r="G550" s="152"/>
      <c r="H550" s="152"/>
      <c r="I550" s="152"/>
      <c r="J550" s="156"/>
      <c r="K550" s="156"/>
      <c r="L550" s="156"/>
      <c r="M550" s="156"/>
      <c r="N550" s="156"/>
      <c r="O550" s="156"/>
      <c r="P550" s="156"/>
      <c r="Q550" s="152"/>
      <c r="R550" s="152"/>
      <c r="S550" s="152"/>
      <c r="T550" s="152"/>
      <c r="U550" s="152"/>
      <c r="V550" s="152"/>
      <c r="W550" s="152"/>
      <c r="X550" s="152"/>
      <c r="Y550" s="149"/>
    </row>
    <row r="551" spans="3:25" s="151" customFormat="1" ht="12.75">
      <c r="C551" s="152"/>
      <c r="D551" s="152"/>
      <c r="E551" s="149"/>
      <c r="F551" s="152"/>
      <c r="G551" s="152"/>
      <c r="H551" s="152"/>
      <c r="I551" s="152"/>
      <c r="J551" s="156"/>
      <c r="K551" s="156"/>
      <c r="L551" s="156"/>
      <c r="M551" s="156"/>
      <c r="N551" s="156"/>
      <c r="O551" s="156"/>
      <c r="P551" s="156"/>
      <c r="Q551" s="152"/>
      <c r="R551" s="152"/>
      <c r="S551" s="152"/>
      <c r="T551" s="152"/>
      <c r="U551" s="152"/>
      <c r="V551" s="152"/>
      <c r="W551" s="152"/>
      <c r="X551" s="152"/>
      <c r="Y551" s="149"/>
    </row>
    <row r="552" spans="3:25" s="151" customFormat="1" ht="12.75">
      <c r="C552" s="152"/>
      <c r="D552" s="152"/>
      <c r="E552" s="149"/>
      <c r="F552" s="152"/>
      <c r="G552" s="152"/>
      <c r="H552" s="152"/>
      <c r="I552" s="152"/>
      <c r="J552" s="156"/>
      <c r="K552" s="156"/>
      <c r="L552" s="156"/>
      <c r="M552" s="156"/>
      <c r="N552" s="156"/>
      <c r="O552" s="156"/>
      <c r="P552" s="156"/>
      <c r="Q552" s="152"/>
      <c r="R552" s="152"/>
      <c r="S552" s="152"/>
      <c r="T552" s="152"/>
      <c r="U552" s="152"/>
      <c r="V552" s="152"/>
      <c r="W552" s="152"/>
      <c r="X552" s="152"/>
      <c r="Y552" s="149"/>
    </row>
    <row r="553" spans="3:25" s="151" customFormat="1" ht="12.75">
      <c r="C553" s="152"/>
      <c r="D553" s="152"/>
      <c r="E553" s="149"/>
      <c r="F553" s="152"/>
      <c r="G553" s="152"/>
      <c r="H553" s="152"/>
      <c r="I553" s="152"/>
      <c r="J553" s="156"/>
      <c r="K553" s="156"/>
      <c r="L553" s="156"/>
      <c r="M553" s="156"/>
      <c r="N553" s="156"/>
      <c r="O553" s="156"/>
      <c r="P553" s="156"/>
      <c r="Q553" s="152"/>
      <c r="R553" s="152"/>
      <c r="S553" s="152"/>
      <c r="T553" s="152"/>
      <c r="U553" s="152"/>
      <c r="V553" s="152"/>
      <c r="W553" s="152"/>
      <c r="X553" s="152"/>
      <c r="Y553" s="149"/>
    </row>
    <row r="554" spans="3:25" s="151" customFormat="1" ht="12.75">
      <c r="C554" s="152"/>
      <c r="D554" s="152"/>
      <c r="E554" s="149"/>
      <c r="F554" s="152"/>
      <c r="G554" s="152"/>
      <c r="H554" s="152"/>
      <c r="I554" s="152"/>
      <c r="J554" s="156"/>
      <c r="K554" s="156"/>
      <c r="L554" s="156"/>
      <c r="M554" s="156"/>
      <c r="N554" s="156"/>
      <c r="O554" s="156"/>
      <c r="P554" s="156"/>
      <c r="Q554" s="152"/>
      <c r="R554" s="152"/>
      <c r="S554" s="152"/>
      <c r="T554" s="152"/>
      <c r="U554" s="152"/>
      <c r="V554" s="152"/>
      <c r="W554" s="152"/>
      <c r="X554" s="152"/>
      <c r="Y554" s="149"/>
    </row>
    <row r="555" spans="3:25" s="151" customFormat="1" ht="12.75">
      <c r="C555" s="152"/>
      <c r="D555" s="152"/>
      <c r="E555" s="149"/>
      <c r="F555" s="152"/>
      <c r="G555" s="152"/>
      <c r="H555" s="152"/>
      <c r="I555" s="152"/>
      <c r="J555" s="156"/>
      <c r="K555" s="156"/>
      <c r="L555" s="156"/>
      <c r="M555" s="156"/>
      <c r="N555" s="156"/>
      <c r="O555" s="156"/>
      <c r="P555" s="156"/>
      <c r="Q555" s="152"/>
      <c r="R555" s="152"/>
      <c r="S555" s="152"/>
      <c r="T555" s="152"/>
      <c r="U555" s="152"/>
      <c r="V555" s="152"/>
      <c r="W555" s="152"/>
      <c r="X555" s="152"/>
      <c r="Y555" s="149"/>
    </row>
    <row r="556" spans="3:25" s="151" customFormat="1" ht="12.75">
      <c r="C556" s="152"/>
      <c r="D556" s="152"/>
      <c r="E556" s="149"/>
      <c r="F556" s="152"/>
      <c r="G556" s="152"/>
      <c r="H556" s="152"/>
      <c r="I556" s="152"/>
      <c r="J556" s="156"/>
      <c r="K556" s="156"/>
      <c r="L556" s="156"/>
      <c r="M556" s="156"/>
      <c r="N556" s="156"/>
      <c r="O556" s="156"/>
      <c r="P556" s="156"/>
      <c r="Q556" s="152"/>
      <c r="R556" s="152"/>
      <c r="S556" s="152"/>
      <c r="T556" s="152"/>
      <c r="U556" s="152"/>
      <c r="V556" s="152"/>
      <c r="W556" s="152"/>
      <c r="X556" s="152"/>
      <c r="Y556" s="149"/>
    </row>
    <row r="557" spans="3:25" s="151" customFormat="1" ht="12.75">
      <c r="C557" s="152"/>
      <c r="D557" s="152"/>
      <c r="E557" s="149"/>
      <c r="F557" s="152"/>
      <c r="G557" s="152"/>
      <c r="H557" s="152"/>
      <c r="I557" s="152"/>
      <c r="J557" s="156"/>
      <c r="K557" s="156"/>
      <c r="L557" s="156"/>
      <c r="M557" s="156"/>
      <c r="N557" s="156"/>
      <c r="O557" s="156"/>
      <c r="P557" s="156"/>
      <c r="Q557" s="152"/>
      <c r="R557" s="152"/>
      <c r="S557" s="152"/>
      <c r="T557" s="152"/>
      <c r="U557" s="152"/>
      <c r="V557" s="152"/>
      <c r="W557" s="152"/>
      <c r="X557" s="152"/>
      <c r="Y557" s="149"/>
    </row>
    <row r="558" spans="3:25" s="151" customFormat="1" ht="12.75">
      <c r="C558" s="152"/>
      <c r="D558" s="152"/>
      <c r="E558" s="149"/>
      <c r="F558" s="152"/>
      <c r="G558" s="152"/>
      <c r="H558" s="152"/>
      <c r="I558" s="152"/>
      <c r="J558" s="156"/>
      <c r="K558" s="156"/>
      <c r="L558" s="156"/>
      <c r="M558" s="156"/>
      <c r="N558" s="156"/>
      <c r="O558" s="156"/>
      <c r="P558" s="156"/>
      <c r="Q558" s="152"/>
      <c r="R558" s="152"/>
      <c r="S558" s="152"/>
      <c r="T558" s="152"/>
      <c r="U558" s="152"/>
      <c r="V558" s="152"/>
      <c r="W558" s="152"/>
      <c r="X558" s="152"/>
      <c r="Y558" s="149"/>
    </row>
    <row r="559" spans="3:25" s="151" customFormat="1" ht="12.75">
      <c r="C559" s="152"/>
      <c r="D559" s="152"/>
      <c r="E559" s="149"/>
      <c r="F559" s="152"/>
      <c r="G559" s="152"/>
      <c r="H559" s="152"/>
      <c r="I559" s="152"/>
      <c r="J559" s="156"/>
      <c r="K559" s="156"/>
      <c r="L559" s="156"/>
      <c r="M559" s="156"/>
      <c r="N559" s="156"/>
      <c r="O559" s="156"/>
      <c r="P559" s="156"/>
      <c r="Q559" s="152"/>
      <c r="R559" s="152"/>
      <c r="S559" s="152"/>
      <c r="T559" s="152"/>
      <c r="U559" s="152"/>
      <c r="V559" s="152"/>
      <c r="W559" s="152"/>
      <c r="X559" s="152"/>
      <c r="Y559" s="149"/>
    </row>
    <row r="560" spans="3:25" s="151" customFormat="1" ht="12.75">
      <c r="C560" s="152"/>
      <c r="D560" s="152"/>
      <c r="E560" s="149"/>
      <c r="F560" s="152"/>
      <c r="G560" s="152"/>
      <c r="H560" s="152"/>
      <c r="I560" s="152"/>
      <c r="J560" s="156"/>
      <c r="K560" s="156"/>
      <c r="L560" s="156"/>
      <c r="M560" s="156"/>
      <c r="N560" s="156"/>
      <c r="O560" s="156"/>
      <c r="P560" s="156"/>
      <c r="Q560" s="152"/>
      <c r="R560" s="152"/>
      <c r="S560" s="152"/>
      <c r="T560" s="152"/>
      <c r="U560" s="152"/>
      <c r="V560" s="152"/>
      <c r="W560" s="152"/>
      <c r="X560" s="152"/>
      <c r="Y560" s="149"/>
    </row>
    <row r="561" spans="3:25" s="151" customFormat="1" ht="12.75">
      <c r="C561" s="152"/>
      <c r="D561" s="152"/>
      <c r="E561" s="149"/>
      <c r="F561" s="152"/>
      <c r="G561" s="152"/>
      <c r="H561" s="152"/>
      <c r="I561" s="152"/>
      <c r="J561" s="156"/>
      <c r="K561" s="156"/>
      <c r="L561" s="156"/>
      <c r="M561" s="156"/>
      <c r="N561" s="156"/>
      <c r="O561" s="156"/>
      <c r="P561" s="156"/>
      <c r="Q561" s="152"/>
      <c r="R561" s="152"/>
      <c r="S561" s="152"/>
      <c r="T561" s="152"/>
      <c r="U561" s="152"/>
      <c r="V561" s="152"/>
      <c r="W561" s="152"/>
      <c r="X561" s="152"/>
      <c r="Y561" s="149"/>
    </row>
    <row r="562" spans="3:25" s="151" customFormat="1" ht="12.75">
      <c r="C562" s="152"/>
      <c r="D562" s="152"/>
      <c r="E562" s="149"/>
      <c r="F562" s="152"/>
      <c r="G562" s="152"/>
      <c r="H562" s="152"/>
      <c r="I562" s="152"/>
      <c r="J562" s="156"/>
      <c r="K562" s="156"/>
      <c r="L562" s="156"/>
      <c r="M562" s="156"/>
      <c r="N562" s="156"/>
      <c r="O562" s="156"/>
      <c r="P562" s="156"/>
      <c r="Q562" s="152"/>
      <c r="R562" s="152"/>
      <c r="S562" s="152"/>
      <c r="T562" s="152"/>
      <c r="U562" s="152"/>
      <c r="V562" s="152"/>
      <c r="W562" s="152"/>
      <c r="X562" s="152"/>
      <c r="Y562" s="149"/>
    </row>
    <row r="563" spans="3:25" s="151" customFormat="1" ht="12.75">
      <c r="C563" s="152"/>
      <c r="D563" s="152"/>
      <c r="E563" s="149"/>
      <c r="F563" s="152"/>
      <c r="G563" s="152"/>
      <c r="H563" s="152"/>
      <c r="I563" s="152"/>
      <c r="J563" s="156"/>
      <c r="K563" s="156"/>
      <c r="L563" s="156"/>
      <c r="M563" s="156"/>
      <c r="N563" s="156"/>
      <c r="O563" s="156"/>
      <c r="P563" s="156"/>
      <c r="Q563" s="152"/>
      <c r="R563" s="152"/>
      <c r="S563" s="152"/>
      <c r="T563" s="152"/>
      <c r="U563" s="152"/>
      <c r="V563" s="152"/>
      <c r="W563" s="152"/>
      <c r="X563" s="152"/>
      <c r="Y563" s="149"/>
    </row>
    <row r="564" spans="3:25" s="151" customFormat="1" ht="12.75">
      <c r="C564" s="152"/>
      <c r="D564" s="152"/>
      <c r="E564" s="149"/>
      <c r="F564" s="152"/>
      <c r="G564" s="152"/>
      <c r="H564" s="152"/>
      <c r="I564" s="152"/>
      <c r="J564" s="156"/>
      <c r="K564" s="156"/>
      <c r="L564" s="156"/>
      <c r="M564" s="156"/>
      <c r="N564" s="156"/>
      <c r="O564" s="156"/>
      <c r="P564" s="156"/>
      <c r="Q564" s="152"/>
      <c r="R564" s="152"/>
      <c r="S564" s="152"/>
      <c r="T564" s="152"/>
      <c r="U564" s="152"/>
      <c r="V564" s="152"/>
      <c r="W564" s="152"/>
      <c r="X564" s="152"/>
      <c r="Y564" s="149"/>
    </row>
    <row r="565" spans="3:25" s="151" customFormat="1" ht="12.75">
      <c r="C565" s="152"/>
      <c r="D565" s="152"/>
      <c r="E565" s="149"/>
      <c r="F565" s="152"/>
      <c r="G565" s="152"/>
      <c r="H565" s="152"/>
      <c r="I565" s="152"/>
      <c r="J565" s="156"/>
      <c r="K565" s="156"/>
      <c r="L565" s="156"/>
      <c r="M565" s="156"/>
      <c r="N565" s="156"/>
      <c r="O565" s="156"/>
      <c r="P565" s="156"/>
      <c r="Q565" s="152"/>
      <c r="R565" s="152"/>
      <c r="S565" s="152"/>
      <c r="T565" s="152"/>
      <c r="U565" s="152"/>
      <c r="V565" s="152"/>
      <c r="W565" s="152"/>
      <c r="X565" s="152"/>
      <c r="Y565" s="149"/>
    </row>
    <row r="566" spans="3:25" s="151" customFormat="1" ht="12.75">
      <c r="C566" s="152"/>
      <c r="D566" s="152"/>
      <c r="E566" s="149"/>
      <c r="F566" s="152"/>
      <c r="G566" s="152"/>
      <c r="H566" s="152"/>
      <c r="I566" s="152"/>
      <c r="J566" s="156"/>
      <c r="K566" s="156"/>
      <c r="L566" s="156"/>
      <c r="M566" s="156"/>
      <c r="N566" s="156"/>
      <c r="O566" s="156"/>
      <c r="P566" s="156"/>
      <c r="Q566" s="152"/>
      <c r="R566" s="152"/>
      <c r="S566" s="152"/>
      <c r="T566" s="152"/>
      <c r="U566" s="152"/>
      <c r="V566" s="152"/>
      <c r="W566" s="152"/>
      <c r="X566" s="152"/>
      <c r="Y566" s="149"/>
    </row>
    <row r="567" spans="3:25" s="151" customFormat="1" ht="12.75">
      <c r="C567" s="152"/>
      <c r="D567" s="152"/>
      <c r="E567" s="149"/>
      <c r="F567" s="152"/>
      <c r="G567" s="152"/>
      <c r="H567" s="152"/>
      <c r="I567" s="152"/>
      <c r="J567" s="156"/>
      <c r="K567" s="156"/>
      <c r="L567" s="156"/>
      <c r="M567" s="156"/>
      <c r="N567" s="156"/>
      <c r="O567" s="156"/>
      <c r="P567" s="156"/>
      <c r="Q567" s="152"/>
      <c r="R567" s="152"/>
      <c r="S567" s="152"/>
      <c r="T567" s="152"/>
      <c r="U567" s="152"/>
      <c r="V567" s="152"/>
      <c r="W567" s="152"/>
      <c r="X567" s="152"/>
      <c r="Y567" s="149"/>
    </row>
    <row r="568" spans="3:25" s="151" customFormat="1" ht="12.75">
      <c r="C568" s="152"/>
      <c r="D568" s="152"/>
      <c r="E568" s="149"/>
      <c r="F568" s="152"/>
      <c r="G568" s="152"/>
      <c r="H568" s="152"/>
      <c r="I568" s="152"/>
      <c r="J568" s="156"/>
      <c r="K568" s="156"/>
      <c r="L568" s="156"/>
      <c r="M568" s="156"/>
      <c r="N568" s="156"/>
      <c r="O568" s="156"/>
      <c r="P568" s="156"/>
      <c r="Q568" s="152"/>
      <c r="R568" s="152"/>
      <c r="S568" s="152"/>
      <c r="T568" s="152"/>
      <c r="U568" s="152"/>
      <c r="V568" s="152"/>
      <c r="W568" s="152"/>
      <c r="X568" s="152"/>
      <c r="Y568" s="149"/>
    </row>
    <row r="569" spans="3:25" s="151" customFormat="1" ht="12.75">
      <c r="C569" s="152"/>
      <c r="D569" s="152"/>
      <c r="E569" s="149"/>
      <c r="F569" s="152"/>
      <c r="G569" s="152"/>
      <c r="H569" s="152"/>
      <c r="I569" s="152"/>
      <c r="J569" s="156"/>
      <c r="K569" s="156"/>
      <c r="L569" s="156"/>
      <c r="M569" s="156"/>
      <c r="N569" s="156"/>
      <c r="O569" s="156"/>
      <c r="P569" s="156"/>
      <c r="Q569" s="152"/>
      <c r="R569" s="152"/>
      <c r="S569" s="152"/>
      <c r="T569" s="152"/>
      <c r="U569" s="152"/>
      <c r="V569" s="152"/>
      <c r="W569" s="152"/>
      <c r="X569" s="152"/>
      <c r="Y569" s="149"/>
    </row>
    <row r="570" spans="3:25" s="151" customFormat="1" ht="12.75">
      <c r="C570" s="152"/>
      <c r="D570" s="152"/>
      <c r="E570" s="149"/>
      <c r="F570" s="152"/>
      <c r="G570" s="152"/>
      <c r="H570" s="152"/>
      <c r="I570" s="152"/>
      <c r="J570" s="156"/>
      <c r="K570" s="156"/>
      <c r="L570" s="156"/>
      <c r="M570" s="156"/>
      <c r="N570" s="156"/>
      <c r="O570" s="156"/>
      <c r="P570" s="156"/>
      <c r="Q570" s="152"/>
      <c r="R570" s="152"/>
      <c r="S570" s="152"/>
      <c r="T570" s="152"/>
      <c r="U570" s="152"/>
      <c r="V570" s="152"/>
      <c r="W570" s="152"/>
      <c r="X570" s="152"/>
      <c r="Y570" s="149"/>
    </row>
    <row r="571" spans="3:25" s="151" customFormat="1" ht="12.75">
      <c r="C571" s="152"/>
      <c r="D571" s="152"/>
      <c r="E571" s="149"/>
      <c r="F571" s="152"/>
      <c r="G571" s="152"/>
      <c r="H571" s="152"/>
      <c r="I571" s="152"/>
      <c r="J571" s="156"/>
      <c r="K571" s="156"/>
      <c r="L571" s="156"/>
      <c r="M571" s="156"/>
      <c r="N571" s="156"/>
      <c r="O571" s="156"/>
      <c r="P571" s="156"/>
      <c r="Q571" s="152"/>
      <c r="R571" s="152"/>
      <c r="S571" s="152"/>
      <c r="T571" s="152"/>
      <c r="U571" s="152"/>
      <c r="V571" s="152"/>
      <c r="W571" s="152"/>
      <c r="X571" s="152"/>
      <c r="Y571" s="149"/>
    </row>
    <row r="572" spans="3:25" s="151" customFormat="1" ht="12.75">
      <c r="C572" s="152"/>
      <c r="D572" s="152"/>
      <c r="E572" s="149"/>
      <c r="F572" s="152"/>
      <c r="G572" s="152"/>
      <c r="H572" s="152"/>
      <c r="I572" s="152"/>
      <c r="J572" s="156"/>
      <c r="K572" s="156"/>
      <c r="L572" s="156"/>
      <c r="M572" s="156"/>
      <c r="N572" s="156"/>
      <c r="O572" s="156"/>
      <c r="P572" s="156"/>
      <c r="Q572" s="152"/>
      <c r="R572" s="152"/>
      <c r="S572" s="152"/>
      <c r="T572" s="152"/>
      <c r="U572" s="152"/>
      <c r="V572" s="152"/>
      <c r="W572" s="152"/>
      <c r="X572" s="152"/>
      <c r="Y572" s="149"/>
    </row>
    <row r="573" spans="3:25" s="151" customFormat="1" ht="12.75">
      <c r="C573" s="152"/>
      <c r="D573" s="152"/>
      <c r="E573" s="149"/>
      <c r="F573" s="152"/>
      <c r="G573" s="152"/>
      <c r="H573" s="152"/>
      <c r="I573" s="152"/>
      <c r="J573" s="156"/>
      <c r="K573" s="156"/>
      <c r="L573" s="156"/>
      <c r="M573" s="156"/>
      <c r="N573" s="156"/>
      <c r="O573" s="156"/>
      <c r="P573" s="156"/>
      <c r="Q573" s="152"/>
      <c r="R573" s="152"/>
      <c r="S573" s="152"/>
      <c r="T573" s="152"/>
      <c r="U573" s="152"/>
      <c r="V573" s="152"/>
      <c r="W573" s="152"/>
      <c r="X573" s="152"/>
      <c r="Y573" s="149"/>
    </row>
    <row r="574" spans="3:25" s="151" customFormat="1" ht="12.75">
      <c r="C574" s="152"/>
      <c r="D574" s="152"/>
      <c r="E574" s="149"/>
      <c r="F574" s="152"/>
      <c r="G574" s="152"/>
      <c r="H574" s="152"/>
      <c r="I574" s="152"/>
      <c r="J574" s="156"/>
      <c r="K574" s="156"/>
      <c r="L574" s="156"/>
      <c r="M574" s="156"/>
      <c r="N574" s="156"/>
      <c r="O574" s="156"/>
      <c r="P574" s="156"/>
      <c r="Q574" s="152"/>
      <c r="R574" s="152"/>
      <c r="S574" s="152"/>
      <c r="T574" s="152"/>
      <c r="U574" s="152"/>
      <c r="V574" s="152"/>
      <c r="W574" s="152"/>
      <c r="X574" s="152"/>
      <c r="Y574" s="149"/>
    </row>
    <row r="575" spans="3:25" s="151" customFormat="1" ht="12.75">
      <c r="C575" s="152"/>
      <c r="D575" s="152"/>
      <c r="E575" s="149"/>
      <c r="F575" s="152"/>
      <c r="G575" s="152"/>
      <c r="H575" s="152"/>
      <c r="I575" s="152"/>
      <c r="J575" s="156"/>
      <c r="K575" s="156"/>
      <c r="L575" s="156"/>
      <c r="M575" s="156"/>
      <c r="N575" s="156"/>
      <c r="O575" s="156"/>
      <c r="P575" s="156"/>
      <c r="Q575" s="152"/>
      <c r="R575" s="152"/>
      <c r="S575" s="152"/>
      <c r="T575" s="152"/>
      <c r="U575" s="152"/>
      <c r="V575" s="152"/>
      <c r="W575" s="152"/>
      <c r="X575" s="152"/>
      <c r="Y575" s="149"/>
    </row>
    <row r="576" spans="3:25" s="151" customFormat="1" ht="12.75">
      <c r="C576" s="152"/>
      <c r="D576" s="152"/>
      <c r="E576" s="149"/>
      <c r="F576" s="152"/>
      <c r="G576" s="152"/>
      <c r="H576" s="152"/>
      <c r="I576" s="152"/>
      <c r="J576" s="156"/>
      <c r="K576" s="156"/>
      <c r="L576" s="156"/>
      <c r="M576" s="156"/>
      <c r="N576" s="156"/>
      <c r="O576" s="156"/>
      <c r="P576" s="156"/>
      <c r="Q576" s="152"/>
      <c r="R576" s="152"/>
      <c r="S576" s="152"/>
      <c r="T576" s="152"/>
      <c r="U576" s="152"/>
      <c r="V576" s="152"/>
      <c r="W576" s="152"/>
      <c r="X576" s="152"/>
      <c r="Y576" s="149"/>
    </row>
    <row r="577" spans="3:25" s="151" customFormat="1" ht="12.75">
      <c r="C577" s="152"/>
      <c r="D577" s="152"/>
      <c r="E577" s="149"/>
      <c r="F577" s="152"/>
      <c r="G577" s="152"/>
      <c r="H577" s="152"/>
      <c r="I577" s="152"/>
      <c r="J577" s="156"/>
      <c r="K577" s="156"/>
      <c r="L577" s="156"/>
      <c r="M577" s="156"/>
      <c r="N577" s="156"/>
      <c r="O577" s="156"/>
      <c r="P577" s="156"/>
      <c r="Q577" s="152"/>
      <c r="R577" s="152"/>
      <c r="S577" s="152"/>
      <c r="T577" s="152"/>
      <c r="U577" s="152"/>
      <c r="V577" s="152"/>
      <c r="W577" s="152"/>
      <c r="X577" s="152"/>
      <c r="Y577" s="149"/>
    </row>
    <row r="578" spans="3:25" s="151" customFormat="1" ht="12.75">
      <c r="C578" s="152"/>
      <c r="D578" s="152"/>
      <c r="E578" s="149"/>
      <c r="F578" s="152"/>
      <c r="G578" s="152"/>
      <c r="H578" s="152"/>
      <c r="I578" s="152"/>
      <c r="J578" s="156"/>
      <c r="K578" s="156"/>
      <c r="L578" s="156"/>
      <c r="M578" s="156"/>
      <c r="N578" s="156"/>
      <c r="O578" s="156"/>
      <c r="P578" s="156"/>
      <c r="Q578" s="152"/>
      <c r="R578" s="152"/>
      <c r="S578" s="152"/>
      <c r="T578" s="152"/>
      <c r="U578" s="152"/>
      <c r="V578" s="152"/>
      <c r="W578" s="152"/>
      <c r="X578" s="152"/>
      <c r="Y578" s="149"/>
    </row>
    <row r="579" spans="3:25" s="151" customFormat="1" ht="12.75">
      <c r="C579" s="152"/>
      <c r="D579" s="152"/>
      <c r="E579" s="149"/>
      <c r="F579" s="152"/>
      <c r="G579" s="152"/>
      <c r="H579" s="152"/>
      <c r="I579" s="152"/>
      <c r="J579" s="156"/>
      <c r="K579" s="156"/>
      <c r="L579" s="156"/>
      <c r="M579" s="156"/>
      <c r="N579" s="156"/>
      <c r="O579" s="156"/>
      <c r="P579" s="156"/>
      <c r="Q579" s="152"/>
      <c r="R579" s="152"/>
      <c r="S579" s="152"/>
      <c r="T579" s="152"/>
      <c r="U579" s="152"/>
      <c r="V579" s="152"/>
      <c r="W579" s="152"/>
      <c r="X579" s="152"/>
      <c r="Y579" s="149"/>
    </row>
    <row r="580" spans="3:25" s="151" customFormat="1" ht="12.75">
      <c r="C580" s="152"/>
      <c r="D580" s="152"/>
      <c r="E580" s="149"/>
      <c r="F580" s="152"/>
      <c r="G580" s="152"/>
      <c r="H580" s="152"/>
      <c r="I580" s="152"/>
      <c r="J580" s="156"/>
      <c r="K580" s="156"/>
      <c r="L580" s="156"/>
      <c r="M580" s="156"/>
      <c r="N580" s="156"/>
      <c r="O580" s="156"/>
      <c r="P580" s="156"/>
      <c r="Q580" s="152"/>
      <c r="R580" s="152"/>
      <c r="S580" s="152"/>
      <c r="T580" s="152"/>
      <c r="U580" s="152"/>
      <c r="V580" s="152"/>
      <c r="W580" s="152"/>
      <c r="X580" s="152"/>
      <c r="Y580" s="149"/>
    </row>
    <row r="581" spans="3:25" s="151" customFormat="1" ht="12.75">
      <c r="C581" s="152"/>
      <c r="D581" s="152"/>
      <c r="E581" s="149"/>
      <c r="F581" s="152"/>
      <c r="G581" s="152"/>
      <c r="H581" s="152"/>
      <c r="I581" s="152"/>
      <c r="J581" s="156"/>
      <c r="K581" s="156"/>
      <c r="L581" s="156"/>
      <c r="M581" s="156"/>
      <c r="N581" s="156"/>
      <c r="O581" s="156"/>
      <c r="P581" s="156"/>
      <c r="Q581" s="152"/>
      <c r="R581" s="152"/>
      <c r="S581" s="152"/>
      <c r="T581" s="152"/>
      <c r="U581" s="152"/>
      <c r="V581" s="152"/>
      <c r="W581" s="152"/>
      <c r="X581" s="152"/>
      <c r="Y581" s="149"/>
    </row>
    <row r="582" spans="3:25" s="151" customFormat="1" ht="12.75">
      <c r="C582" s="152"/>
      <c r="D582" s="152"/>
      <c r="E582" s="149"/>
      <c r="F582" s="152"/>
      <c r="G582" s="152"/>
      <c r="H582" s="152"/>
      <c r="I582" s="152"/>
      <c r="J582" s="156"/>
      <c r="K582" s="156"/>
      <c r="L582" s="156"/>
      <c r="M582" s="156"/>
      <c r="N582" s="156"/>
      <c r="O582" s="156"/>
      <c r="P582" s="156"/>
      <c r="Q582" s="152"/>
      <c r="R582" s="152"/>
      <c r="S582" s="152"/>
      <c r="T582" s="152"/>
      <c r="U582" s="152"/>
      <c r="V582" s="152"/>
      <c r="W582" s="152"/>
      <c r="X582" s="152"/>
      <c r="Y582" s="149"/>
    </row>
    <row r="583" spans="3:25" s="151" customFormat="1" ht="12.75">
      <c r="C583" s="152"/>
      <c r="D583" s="152"/>
      <c r="E583" s="149"/>
      <c r="F583" s="152"/>
      <c r="G583" s="152"/>
      <c r="H583" s="152"/>
      <c r="I583" s="152"/>
      <c r="J583" s="156"/>
      <c r="K583" s="156"/>
      <c r="L583" s="156"/>
      <c r="M583" s="156"/>
      <c r="N583" s="156"/>
      <c r="O583" s="156"/>
      <c r="P583" s="156"/>
      <c r="Q583" s="152"/>
      <c r="R583" s="152"/>
      <c r="S583" s="152"/>
      <c r="T583" s="152"/>
      <c r="U583" s="152"/>
      <c r="V583" s="152"/>
      <c r="W583" s="152"/>
      <c r="X583" s="152"/>
      <c r="Y583" s="149"/>
    </row>
    <row r="584" spans="3:25" s="151" customFormat="1" ht="12.75">
      <c r="C584" s="152"/>
      <c r="D584" s="152"/>
      <c r="E584" s="149"/>
      <c r="F584" s="152"/>
      <c r="G584" s="152"/>
      <c r="H584" s="152"/>
      <c r="I584" s="152"/>
      <c r="J584" s="156"/>
      <c r="K584" s="156"/>
      <c r="L584" s="156"/>
      <c r="M584" s="156"/>
      <c r="N584" s="156"/>
      <c r="O584" s="156"/>
      <c r="P584" s="156"/>
      <c r="Q584" s="152"/>
      <c r="R584" s="152"/>
      <c r="S584" s="152"/>
      <c r="T584" s="152"/>
      <c r="U584" s="152"/>
      <c r="V584" s="152"/>
      <c r="W584" s="152"/>
      <c r="X584" s="152"/>
      <c r="Y584" s="149"/>
    </row>
    <row r="585" spans="3:25" s="151" customFormat="1" ht="12.75">
      <c r="C585" s="152"/>
      <c r="D585" s="152"/>
      <c r="E585" s="149"/>
      <c r="F585" s="152"/>
      <c r="G585" s="152"/>
      <c r="H585" s="152"/>
      <c r="I585" s="152"/>
      <c r="J585" s="156"/>
      <c r="K585" s="156"/>
      <c r="L585" s="156"/>
      <c r="M585" s="156"/>
      <c r="N585" s="156"/>
      <c r="O585" s="156"/>
      <c r="P585" s="156"/>
      <c r="Q585" s="152"/>
      <c r="R585" s="152"/>
      <c r="S585" s="152"/>
      <c r="T585" s="152"/>
      <c r="U585" s="152"/>
      <c r="V585" s="152"/>
      <c r="W585" s="152"/>
      <c r="X585" s="152"/>
      <c r="Y585" s="149"/>
    </row>
    <row r="586" spans="3:25" s="151" customFormat="1" ht="12.75">
      <c r="C586" s="152"/>
      <c r="D586" s="152"/>
      <c r="E586" s="149"/>
      <c r="F586" s="152"/>
      <c r="G586" s="152"/>
      <c r="H586" s="152"/>
      <c r="I586" s="152"/>
      <c r="J586" s="156"/>
      <c r="K586" s="156"/>
      <c r="L586" s="156"/>
      <c r="M586" s="156"/>
      <c r="N586" s="156"/>
      <c r="O586" s="156"/>
      <c r="P586" s="156"/>
      <c r="Q586" s="152"/>
      <c r="R586" s="152"/>
      <c r="S586" s="152"/>
      <c r="T586" s="152"/>
      <c r="U586" s="152"/>
      <c r="V586" s="152"/>
      <c r="W586" s="152"/>
      <c r="X586" s="152"/>
      <c r="Y586" s="149"/>
    </row>
    <row r="587" spans="3:25" s="151" customFormat="1" ht="12.75">
      <c r="C587" s="152"/>
      <c r="D587" s="152"/>
      <c r="E587" s="149"/>
      <c r="F587" s="152"/>
      <c r="G587" s="152"/>
      <c r="H587" s="152"/>
      <c r="I587" s="152"/>
      <c r="J587" s="156"/>
      <c r="K587" s="156"/>
      <c r="L587" s="156"/>
      <c r="M587" s="156"/>
      <c r="N587" s="156"/>
      <c r="O587" s="156"/>
      <c r="P587" s="156"/>
      <c r="Q587" s="152"/>
      <c r="R587" s="152"/>
      <c r="S587" s="152"/>
      <c r="T587" s="152"/>
      <c r="U587" s="152"/>
      <c r="V587" s="152"/>
      <c r="W587" s="152"/>
      <c r="X587" s="152"/>
      <c r="Y587" s="149"/>
    </row>
    <row r="588" spans="3:25" s="151" customFormat="1" ht="12.75">
      <c r="C588" s="152"/>
      <c r="D588" s="152"/>
      <c r="E588" s="149"/>
      <c r="F588" s="152"/>
      <c r="G588" s="152"/>
      <c r="H588" s="152"/>
      <c r="I588" s="152"/>
      <c r="J588" s="156"/>
      <c r="K588" s="156"/>
      <c r="L588" s="156"/>
      <c r="M588" s="156"/>
      <c r="N588" s="156"/>
      <c r="O588" s="156"/>
      <c r="P588" s="156"/>
      <c r="Q588" s="152"/>
      <c r="R588" s="152"/>
      <c r="S588" s="152"/>
      <c r="T588" s="152"/>
      <c r="U588" s="152"/>
      <c r="V588" s="152"/>
      <c r="W588" s="152"/>
      <c r="X588" s="152"/>
      <c r="Y588" s="149"/>
    </row>
    <row r="589" spans="3:25" s="151" customFormat="1" ht="12.75">
      <c r="C589" s="152"/>
      <c r="D589" s="152"/>
      <c r="E589" s="149"/>
      <c r="F589" s="152"/>
      <c r="G589" s="152"/>
      <c r="H589" s="152"/>
      <c r="I589" s="152"/>
      <c r="J589" s="156"/>
      <c r="K589" s="156"/>
      <c r="L589" s="156"/>
      <c r="M589" s="156"/>
      <c r="N589" s="156"/>
      <c r="O589" s="156"/>
      <c r="P589" s="156"/>
      <c r="Q589" s="152"/>
      <c r="R589" s="152"/>
      <c r="S589" s="152"/>
      <c r="T589" s="152"/>
      <c r="U589" s="152"/>
      <c r="V589" s="152"/>
      <c r="W589" s="152"/>
      <c r="X589" s="152"/>
      <c r="Y589" s="149"/>
    </row>
    <row r="590" spans="3:25" s="151" customFormat="1" ht="12.75">
      <c r="C590" s="152"/>
      <c r="D590" s="152"/>
      <c r="E590" s="149"/>
      <c r="F590" s="152"/>
      <c r="G590" s="152"/>
      <c r="H590" s="152"/>
      <c r="I590" s="152"/>
      <c r="J590" s="156"/>
      <c r="K590" s="156"/>
      <c r="L590" s="156"/>
      <c r="M590" s="156"/>
      <c r="N590" s="156"/>
      <c r="O590" s="156"/>
      <c r="P590" s="156"/>
      <c r="Q590" s="152"/>
      <c r="R590" s="152"/>
      <c r="S590" s="152"/>
      <c r="T590" s="152"/>
      <c r="U590" s="152"/>
      <c r="V590" s="152"/>
      <c r="W590" s="152"/>
      <c r="X590" s="152"/>
      <c r="Y590" s="149"/>
    </row>
    <row r="591" spans="3:25" s="151" customFormat="1" ht="12.75">
      <c r="C591" s="152"/>
      <c r="D591" s="152"/>
      <c r="E591" s="149"/>
      <c r="F591" s="152"/>
      <c r="G591" s="152"/>
      <c r="H591" s="152"/>
      <c r="I591" s="152"/>
      <c r="J591" s="156"/>
      <c r="K591" s="156"/>
      <c r="L591" s="156"/>
      <c r="M591" s="156"/>
      <c r="N591" s="156"/>
      <c r="O591" s="156"/>
      <c r="P591" s="156"/>
      <c r="Q591" s="152"/>
      <c r="R591" s="152"/>
      <c r="S591" s="152"/>
      <c r="T591" s="152"/>
      <c r="U591" s="152"/>
      <c r="V591" s="152"/>
      <c r="W591" s="152"/>
      <c r="X591" s="152"/>
      <c r="Y591" s="149"/>
    </row>
    <row r="592" spans="3:25" s="151" customFormat="1" ht="12.75">
      <c r="C592" s="152"/>
      <c r="D592" s="152"/>
      <c r="E592" s="149"/>
      <c r="F592" s="152"/>
      <c r="G592" s="152"/>
      <c r="H592" s="152"/>
      <c r="I592" s="152"/>
      <c r="J592" s="156"/>
      <c r="K592" s="156"/>
      <c r="L592" s="156"/>
      <c r="M592" s="156"/>
      <c r="N592" s="156"/>
      <c r="O592" s="156"/>
      <c r="P592" s="156"/>
      <c r="Q592" s="152"/>
      <c r="R592" s="152"/>
      <c r="S592" s="152"/>
      <c r="T592" s="152"/>
      <c r="U592" s="152"/>
      <c r="V592" s="152"/>
      <c r="W592" s="152"/>
      <c r="X592" s="152"/>
      <c r="Y592" s="149"/>
    </row>
    <row r="593" spans="3:25" s="151" customFormat="1" ht="12.75">
      <c r="C593" s="152"/>
      <c r="D593" s="152"/>
      <c r="E593" s="149"/>
      <c r="F593" s="152"/>
      <c r="G593" s="152"/>
      <c r="H593" s="152"/>
      <c r="I593" s="152"/>
      <c r="J593" s="156"/>
      <c r="K593" s="156"/>
      <c r="L593" s="156"/>
      <c r="M593" s="156"/>
      <c r="N593" s="156"/>
      <c r="O593" s="156"/>
      <c r="P593" s="156"/>
      <c r="Q593" s="152"/>
      <c r="R593" s="152"/>
      <c r="S593" s="152"/>
      <c r="T593" s="152"/>
      <c r="U593" s="152"/>
      <c r="V593" s="152"/>
      <c r="W593" s="152"/>
      <c r="X593" s="152"/>
      <c r="Y593" s="149"/>
    </row>
    <row r="594" spans="3:25" s="151" customFormat="1" ht="12.75">
      <c r="C594" s="152"/>
      <c r="D594" s="152"/>
      <c r="E594" s="149"/>
      <c r="F594" s="152"/>
      <c r="G594" s="152"/>
      <c r="H594" s="152"/>
      <c r="I594" s="152"/>
      <c r="J594" s="156"/>
      <c r="K594" s="156"/>
      <c r="L594" s="156"/>
      <c r="M594" s="156"/>
      <c r="N594" s="156"/>
      <c r="O594" s="156"/>
      <c r="P594" s="156"/>
      <c r="Q594" s="152"/>
      <c r="R594" s="152"/>
      <c r="S594" s="152"/>
      <c r="T594" s="152"/>
      <c r="U594" s="152"/>
      <c r="V594" s="152"/>
      <c r="W594" s="152"/>
      <c r="X594" s="152"/>
      <c r="Y594" s="149"/>
    </row>
    <row r="595" spans="3:25" s="151" customFormat="1" ht="12.75">
      <c r="C595" s="152"/>
      <c r="D595" s="152"/>
      <c r="E595" s="149"/>
      <c r="F595" s="152"/>
      <c r="G595" s="152"/>
      <c r="H595" s="152"/>
      <c r="I595" s="152"/>
      <c r="J595" s="156"/>
      <c r="K595" s="156"/>
      <c r="L595" s="156"/>
      <c r="M595" s="156"/>
      <c r="N595" s="156"/>
      <c r="O595" s="156"/>
      <c r="P595" s="156"/>
      <c r="Q595" s="152"/>
      <c r="R595" s="152"/>
      <c r="S595" s="152"/>
      <c r="T595" s="152"/>
      <c r="U595" s="152"/>
      <c r="V595" s="152"/>
      <c r="W595" s="152"/>
      <c r="X595" s="152"/>
      <c r="Y595" s="149"/>
    </row>
    <row r="596" spans="3:25" s="151" customFormat="1" ht="12.75">
      <c r="C596" s="152"/>
      <c r="D596" s="152"/>
      <c r="E596" s="149"/>
      <c r="F596" s="152"/>
      <c r="G596" s="152"/>
      <c r="H596" s="152"/>
      <c r="I596" s="152"/>
      <c r="J596" s="156"/>
      <c r="K596" s="156"/>
      <c r="L596" s="156"/>
      <c r="M596" s="156"/>
      <c r="N596" s="156"/>
      <c r="O596" s="156"/>
      <c r="P596" s="156"/>
      <c r="Q596" s="152"/>
      <c r="R596" s="152"/>
      <c r="S596" s="152"/>
      <c r="T596" s="152"/>
      <c r="U596" s="152"/>
      <c r="V596" s="152"/>
      <c r="W596" s="152"/>
      <c r="X596" s="152"/>
      <c r="Y596" s="149"/>
    </row>
    <row r="597" spans="3:25" s="151" customFormat="1" ht="12.75">
      <c r="C597" s="152"/>
      <c r="D597" s="152"/>
      <c r="E597" s="149"/>
      <c r="F597" s="152"/>
      <c r="G597" s="152"/>
      <c r="H597" s="152"/>
      <c r="I597" s="152"/>
      <c r="J597" s="156"/>
      <c r="K597" s="156"/>
      <c r="L597" s="156"/>
      <c r="M597" s="156"/>
      <c r="N597" s="156"/>
      <c r="O597" s="156"/>
      <c r="P597" s="156"/>
      <c r="Q597" s="152"/>
      <c r="R597" s="152"/>
      <c r="S597" s="152"/>
      <c r="T597" s="152"/>
      <c r="U597" s="152"/>
      <c r="V597" s="152"/>
      <c r="W597" s="152"/>
      <c r="X597" s="152"/>
      <c r="Y597" s="149"/>
    </row>
    <row r="598" spans="3:25" s="151" customFormat="1" ht="12.75">
      <c r="C598" s="152"/>
      <c r="D598" s="152"/>
      <c r="E598" s="149"/>
      <c r="F598" s="152"/>
      <c r="G598" s="152"/>
      <c r="H598" s="152"/>
      <c r="I598" s="152"/>
      <c r="J598" s="156"/>
      <c r="K598" s="156"/>
      <c r="L598" s="156"/>
      <c r="M598" s="156"/>
      <c r="N598" s="156"/>
      <c r="O598" s="156"/>
      <c r="P598" s="156"/>
      <c r="Q598" s="152"/>
      <c r="R598" s="152"/>
      <c r="S598" s="152"/>
      <c r="T598" s="152"/>
      <c r="U598" s="152"/>
      <c r="V598" s="152"/>
      <c r="W598" s="152"/>
      <c r="X598" s="152"/>
      <c r="Y598" s="149"/>
    </row>
    <row r="599" spans="3:25" s="151" customFormat="1" ht="12.75">
      <c r="C599" s="152"/>
      <c r="D599" s="152"/>
      <c r="E599" s="149"/>
      <c r="F599" s="152"/>
      <c r="G599" s="152"/>
      <c r="H599" s="152"/>
      <c r="I599" s="152"/>
      <c r="J599" s="156"/>
      <c r="K599" s="156"/>
      <c r="L599" s="156"/>
      <c r="M599" s="156"/>
      <c r="N599" s="156"/>
      <c r="O599" s="156"/>
      <c r="P599" s="156"/>
      <c r="Q599" s="152"/>
      <c r="R599" s="152"/>
      <c r="S599" s="152"/>
      <c r="T599" s="152"/>
      <c r="U599" s="152"/>
      <c r="V599" s="152"/>
      <c r="W599" s="152"/>
      <c r="X599" s="152"/>
      <c r="Y599" s="149"/>
    </row>
    <row r="600" spans="3:25" s="151" customFormat="1" ht="12.75">
      <c r="C600" s="152"/>
      <c r="D600" s="152"/>
      <c r="E600" s="149"/>
      <c r="F600" s="152"/>
      <c r="G600" s="152"/>
      <c r="H600" s="152"/>
      <c r="I600" s="152"/>
      <c r="J600" s="156"/>
      <c r="K600" s="156"/>
      <c r="L600" s="156"/>
      <c r="M600" s="156"/>
      <c r="N600" s="156"/>
      <c r="O600" s="156"/>
      <c r="P600" s="156"/>
      <c r="Q600" s="152"/>
      <c r="R600" s="152"/>
      <c r="S600" s="152"/>
      <c r="T600" s="152"/>
      <c r="U600" s="152"/>
      <c r="V600" s="152"/>
      <c r="W600" s="152"/>
      <c r="X600" s="152"/>
      <c r="Y600" s="149"/>
    </row>
    <row r="601" spans="3:25" s="151" customFormat="1" ht="12.75">
      <c r="C601" s="152"/>
      <c r="D601" s="152"/>
      <c r="E601" s="149"/>
      <c r="F601" s="152"/>
      <c r="G601" s="152"/>
      <c r="H601" s="152"/>
      <c r="I601" s="152"/>
      <c r="J601" s="156"/>
      <c r="K601" s="156"/>
      <c r="L601" s="156"/>
      <c r="M601" s="156"/>
      <c r="N601" s="156"/>
      <c r="O601" s="156"/>
      <c r="P601" s="156"/>
      <c r="Q601" s="152"/>
      <c r="R601" s="152"/>
      <c r="S601" s="152"/>
      <c r="T601" s="152"/>
      <c r="U601" s="152"/>
      <c r="V601" s="152"/>
      <c r="W601" s="152"/>
      <c r="X601" s="152"/>
      <c r="Y601" s="149"/>
    </row>
    <row r="602" spans="3:25" s="151" customFormat="1" ht="12.75">
      <c r="C602" s="152"/>
      <c r="D602" s="152"/>
      <c r="E602" s="149"/>
      <c r="F602" s="152"/>
      <c r="G602" s="152"/>
      <c r="H602" s="152"/>
      <c r="I602" s="152"/>
      <c r="J602" s="156"/>
      <c r="K602" s="156"/>
      <c r="L602" s="156"/>
      <c r="M602" s="156"/>
      <c r="N602" s="156"/>
      <c r="O602" s="156"/>
      <c r="P602" s="156"/>
      <c r="Q602" s="152"/>
      <c r="R602" s="152"/>
      <c r="S602" s="152"/>
      <c r="T602" s="152"/>
      <c r="U602" s="152"/>
      <c r="V602" s="152"/>
      <c r="W602" s="152"/>
      <c r="X602" s="152"/>
      <c r="Y602" s="149"/>
    </row>
    <row r="603" spans="3:25" s="151" customFormat="1" ht="12.75">
      <c r="C603" s="152"/>
      <c r="D603" s="152"/>
      <c r="E603" s="149"/>
      <c r="F603" s="152"/>
      <c r="G603" s="152"/>
      <c r="H603" s="152"/>
      <c r="I603" s="152"/>
      <c r="J603" s="156"/>
      <c r="K603" s="156"/>
      <c r="L603" s="156"/>
      <c r="M603" s="156"/>
      <c r="N603" s="156"/>
      <c r="O603" s="156"/>
      <c r="P603" s="156"/>
      <c r="Q603" s="152"/>
      <c r="R603" s="152"/>
      <c r="S603" s="152"/>
      <c r="T603" s="152"/>
      <c r="U603" s="152"/>
      <c r="V603" s="152"/>
      <c r="W603" s="152"/>
      <c r="X603" s="152"/>
      <c r="Y603" s="149"/>
    </row>
    <row r="604" spans="3:25" s="151" customFormat="1" ht="12.75">
      <c r="C604" s="152"/>
      <c r="D604" s="152"/>
      <c r="E604" s="149"/>
      <c r="F604" s="152"/>
      <c r="G604" s="152"/>
      <c r="H604" s="152"/>
      <c r="I604" s="152"/>
      <c r="J604" s="156"/>
      <c r="K604" s="156"/>
      <c r="L604" s="156"/>
      <c r="M604" s="156"/>
      <c r="N604" s="156"/>
      <c r="O604" s="156"/>
      <c r="P604" s="156"/>
      <c r="Q604" s="152"/>
      <c r="R604" s="152"/>
      <c r="S604" s="152"/>
      <c r="T604" s="152"/>
      <c r="U604" s="152"/>
      <c r="V604" s="152"/>
      <c r="W604" s="152"/>
      <c r="X604" s="152"/>
      <c r="Y604" s="149"/>
    </row>
    <row r="605" spans="3:25" s="151" customFormat="1" ht="12.75">
      <c r="C605" s="152"/>
      <c r="D605" s="152"/>
      <c r="E605" s="149"/>
      <c r="F605" s="152"/>
      <c r="G605" s="152"/>
      <c r="H605" s="152"/>
      <c r="I605" s="152"/>
      <c r="J605" s="156"/>
      <c r="K605" s="156"/>
      <c r="L605" s="156"/>
      <c r="M605" s="156"/>
      <c r="N605" s="156"/>
      <c r="O605" s="156"/>
      <c r="P605" s="156"/>
      <c r="Q605" s="152"/>
      <c r="R605" s="152"/>
      <c r="S605" s="152"/>
      <c r="T605" s="152"/>
      <c r="U605" s="152"/>
      <c r="V605" s="152"/>
      <c r="W605" s="152"/>
      <c r="X605" s="152"/>
      <c r="Y605" s="149"/>
    </row>
    <row r="606" spans="3:25" s="151" customFormat="1" ht="12.75">
      <c r="C606" s="152"/>
      <c r="D606" s="152"/>
      <c r="E606" s="149"/>
      <c r="F606" s="152"/>
      <c r="G606" s="152"/>
      <c r="H606" s="152"/>
      <c r="I606" s="152"/>
      <c r="J606" s="156"/>
      <c r="K606" s="156"/>
      <c r="L606" s="156"/>
      <c r="M606" s="156"/>
      <c r="N606" s="156"/>
      <c r="O606" s="156"/>
      <c r="P606" s="156"/>
      <c r="Q606" s="152"/>
      <c r="R606" s="152"/>
      <c r="S606" s="152"/>
      <c r="T606" s="152"/>
      <c r="U606" s="152"/>
      <c r="V606" s="152"/>
      <c r="W606" s="152"/>
      <c r="X606" s="152"/>
      <c r="Y606" s="149"/>
    </row>
    <row r="607" spans="3:25" s="151" customFormat="1" ht="12.75">
      <c r="C607" s="152"/>
      <c r="D607" s="152"/>
      <c r="E607" s="149"/>
      <c r="F607" s="152"/>
      <c r="G607" s="152"/>
      <c r="H607" s="152"/>
      <c r="I607" s="152"/>
      <c r="J607" s="156"/>
      <c r="K607" s="156"/>
      <c r="L607" s="156"/>
      <c r="M607" s="156"/>
      <c r="N607" s="156"/>
      <c r="O607" s="156"/>
      <c r="P607" s="156"/>
      <c r="Q607" s="152"/>
      <c r="R607" s="152"/>
      <c r="S607" s="152"/>
      <c r="T607" s="152"/>
      <c r="U607" s="152"/>
      <c r="V607" s="152"/>
      <c r="W607" s="152"/>
      <c r="X607" s="152"/>
      <c r="Y607" s="149"/>
    </row>
    <row r="608" spans="3:25" s="151" customFormat="1" ht="12.75">
      <c r="C608" s="152"/>
      <c r="D608" s="152"/>
      <c r="E608" s="149"/>
      <c r="F608" s="152"/>
      <c r="G608" s="152"/>
      <c r="H608" s="152"/>
      <c r="I608" s="152"/>
      <c r="J608" s="156"/>
      <c r="K608" s="156"/>
      <c r="L608" s="156"/>
      <c r="M608" s="156"/>
      <c r="N608" s="156"/>
      <c r="O608" s="156"/>
      <c r="P608" s="156"/>
      <c r="Q608" s="152"/>
      <c r="R608" s="152"/>
      <c r="S608" s="152"/>
      <c r="T608" s="152"/>
      <c r="U608" s="152"/>
      <c r="V608" s="152"/>
      <c r="W608" s="152"/>
      <c r="X608" s="152"/>
      <c r="Y608" s="149"/>
    </row>
    <row r="609" spans="3:25" s="151" customFormat="1" ht="12.75">
      <c r="C609" s="152"/>
      <c r="D609" s="152"/>
      <c r="E609" s="149"/>
      <c r="F609" s="152"/>
      <c r="G609" s="152"/>
      <c r="H609" s="152"/>
      <c r="I609" s="152"/>
      <c r="J609" s="156"/>
      <c r="K609" s="156"/>
      <c r="L609" s="156"/>
      <c r="M609" s="156"/>
      <c r="N609" s="156"/>
      <c r="O609" s="156"/>
      <c r="P609" s="156"/>
      <c r="Q609" s="152"/>
      <c r="R609" s="152"/>
      <c r="S609" s="152"/>
      <c r="T609" s="152"/>
      <c r="U609" s="152"/>
      <c r="V609" s="152"/>
      <c r="W609" s="152"/>
      <c r="X609" s="152"/>
      <c r="Y609" s="149"/>
    </row>
    <row r="610" spans="3:25" s="151" customFormat="1" ht="12.75">
      <c r="C610" s="152"/>
      <c r="D610" s="152"/>
      <c r="E610" s="149"/>
      <c r="F610" s="152"/>
      <c r="G610" s="152"/>
      <c r="H610" s="152"/>
      <c r="I610" s="152"/>
      <c r="J610" s="156"/>
      <c r="K610" s="156"/>
      <c r="L610" s="156"/>
      <c r="M610" s="156"/>
      <c r="N610" s="156"/>
      <c r="O610" s="156"/>
      <c r="P610" s="156"/>
      <c r="Q610" s="152"/>
      <c r="R610" s="152"/>
      <c r="S610" s="152"/>
      <c r="T610" s="152"/>
      <c r="U610" s="152"/>
      <c r="V610" s="152"/>
      <c r="W610" s="152"/>
      <c r="X610" s="152"/>
      <c r="Y610" s="149"/>
    </row>
    <row r="611" spans="3:25" s="151" customFormat="1" ht="12.75">
      <c r="C611" s="152"/>
      <c r="D611" s="152"/>
      <c r="E611" s="149"/>
      <c r="F611" s="152"/>
      <c r="G611" s="152"/>
      <c r="H611" s="152"/>
      <c r="I611" s="152"/>
      <c r="J611" s="156"/>
      <c r="K611" s="156"/>
      <c r="L611" s="156"/>
      <c r="M611" s="156"/>
      <c r="N611" s="156"/>
      <c r="O611" s="156"/>
      <c r="P611" s="156"/>
      <c r="Q611" s="152"/>
      <c r="R611" s="152"/>
      <c r="S611" s="152"/>
      <c r="T611" s="152"/>
      <c r="U611" s="152"/>
      <c r="V611" s="152"/>
      <c r="W611" s="152"/>
      <c r="X611" s="152"/>
      <c r="Y611" s="149"/>
    </row>
    <row r="612" spans="3:25" s="151" customFormat="1" ht="12.75">
      <c r="C612" s="152"/>
      <c r="D612" s="152"/>
      <c r="E612" s="149"/>
      <c r="F612" s="152"/>
      <c r="G612" s="152"/>
      <c r="H612" s="152"/>
      <c r="I612" s="152"/>
      <c r="J612" s="156"/>
      <c r="K612" s="156"/>
      <c r="L612" s="156"/>
      <c r="M612" s="156"/>
      <c r="N612" s="156"/>
      <c r="O612" s="156"/>
      <c r="P612" s="156"/>
      <c r="Q612" s="152"/>
      <c r="R612" s="152"/>
      <c r="S612" s="152"/>
      <c r="T612" s="152"/>
      <c r="U612" s="152"/>
      <c r="V612" s="152"/>
      <c r="W612" s="152"/>
      <c r="X612" s="152"/>
      <c r="Y612" s="149"/>
    </row>
    <row r="613" spans="3:25" s="151" customFormat="1" ht="12.75">
      <c r="C613" s="152"/>
      <c r="D613" s="152"/>
      <c r="E613" s="149"/>
      <c r="F613" s="152"/>
      <c r="G613" s="152"/>
      <c r="H613" s="152"/>
      <c r="I613" s="152"/>
      <c r="J613" s="156"/>
      <c r="K613" s="156"/>
      <c r="L613" s="156"/>
      <c r="M613" s="156"/>
      <c r="N613" s="156"/>
      <c r="O613" s="156"/>
      <c r="P613" s="156"/>
      <c r="Q613" s="152"/>
      <c r="R613" s="152"/>
      <c r="S613" s="152"/>
      <c r="T613" s="152"/>
      <c r="U613" s="152"/>
      <c r="V613" s="152"/>
      <c r="W613" s="152"/>
      <c r="X613" s="152"/>
      <c r="Y613" s="149"/>
    </row>
    <row r="614" spans="3:25" s="151" customFormat="1" ht="12.75">
      <c r="C614" s="152"/>
      <c r="D614" s="152"/>
      <c r="E614" s="149"/>
      <c r="F614" s="152"/>
      <c r="G614" s="152"/>
      <c r="H614" s="152"/>
      <c r="I614" s="152"/>
      <c r="J614" s="156"/>
      <c r="K614" s="156"/>
      <c r="L614" s="156"/>
      <c r="M614" s="156"/>
      <c r="N614" s="156"/>
      <c r="O614" s="156"/>
      <c r="P614" s="156"/>
      <c r="Q614" s="152"/>
      <c r="R614" s="152"/>
      <c r="S614" s="152"/>
      <c r="T614" s="152"/>
      <c r="U614" s="152"/>
      <c r="V614" s="152"/>
      <c r="W614" s="152"/>
      <c r="X614" s="152"/>
      <c r="Y614" s="149"/>
    </row>
    <row r="615" spans="3:25" s="151" customFormat="1" ht="12.75">
      <c r="C615" s="152"/>
      <c r="D615" s="152"/>
      <c r="E615" s="149"/>
      <c r="F615" s="152"/>
      <c r="G615" s="152"/>
      <c r="H615" s="152"/>
      <c r="I615" s="152"/>
      <c r="J615" s="156"/>
      <c r="K615" s="156"/>
      <c r="L615" s="156"/>
      <c r="M615" s="156"/>
      <c r="N615" s="156"/>
      <c r="O615" s="156"/>
      <c r="P615" s="156"/>
      <c r="Q615" s="152"/>
      <c r="R615" s="152"/>
      <c r="S615" s="152"/>
      <c r="T615" s="152"/>
      <c r="U615" s="152"/>
      <c r="V615" s="152"/>
      <c r="W615" s="152"/>
      <c r="X615" s="152"/>
      <c r="Y615" s="149"/>
    </row>
    <row r="616" spans="3:25" s="151" customFormat="1" ht="12.75">
      <c r="C616" s="152"/>
      <c r="D616" s="152"/>
      <c r="E616" s="149"/>
      <c r="F616" s="152"/>
      <c r="G616" s="152"/>
      <c r="H616" s="152"/>
      <c r="I616" s="152"/>
      <c r="J616" s="156"/>
      <c r="K616" s="156"/>
      <c r="L616" s="156"/>
      <c r="M616" s="156"/>
      <c r="N616" s="156"/>
      <c r="O616" s="156"/>
      <c r="P616" s="156"/>
      <c r="Q616" s="152"/>
      <c r="R616" s="152"/>
      <c r="S616" s="152"/>
      <c r="T616" s="152"/>
      <c r="U616" s="152"/>
      <c r="V616" s="152"/>
      <c r="W616" s="152"/>
      <c r="X616" s="152"/>
      <c r="Y616" s="149"/>
    </row>
    <row r="617" spans="3:25" s="151" customFormat="1" ht="12.75">
      <c r="C617" s="152"/>
      <c r="D617" s="152"/>
      <c r="E617" s="149"/>
      <c r="F617" s="152"/>
      <c r="G617" s="152"/>
      <c r="H617" s="152"/>
      <c r="I617" s="152"/>
      <c r="J617" s="156"/>
      <c r="K617" s="156"/>
      <c r="L617" s="156"/>
      <c r="M617" s="156"/>
      <c r="N617" s="156"/>
      <c r="O617" s="156"/>
      <c r="P617" s="156"/>
      <c r="Q617" s="152"/>
      <c r="R617" s="152"/>
      <c r="S617" s="152"/>
      <c r="T617" s="152"/>
      <c r="U617" s="152"/>
      <c r="V617" s="152"/>
      <c r="W617" s="152"/>
      <c r="X617" s="152"/>
      <c r="Y617" s="149"/>
    </row>
    <row r="618" spans="3:25" s="151" customFormat="1" ht="12.75">
      <c r="C618" s="152"/>
      <c r="D618" s="152"/>
      <c r="E618" s="149"/>
      <c r="F618" s="152"/>
      <c r="G618" s="152"/>
      <c r="H618" s="152"/>
      <c r="I618" s="152"/>
      <c r="J618" s="156"/>
      <c r="K618" s="156"/>
      <c r="L618" s="156"/>
      <c r="M618" s="156"/>
      <c r="N618" s="156"/>
      <c r="O618" s="156"/>
      <c r="P618" s="156"/>
      <c r="Q618" s="152"/>
      <c r="R618" s="152"/>
      <c r="S618" s="152"/>
      <c r="T618" s="152"/>
      <c r="U618" s="152"/>
      <c r="V618" s="152"/>
      <c r="W618" s="152"/>
      <c r="X618" s="152"/>
      <c r="Y618" s="149"/>
    </row>
    <row r="619" spans="3:25" s="151" customFormat="1" ht="12.75">
      <c r="C619" s="152"/>
      <c r="D619" s="152"/>
      <c r="E619" s="149"/>
      <c r="F619" s="152"/>
      <c r="G619" s="152"/>
      <c r="H619" s="152"/>
      <c r="I619" s="152"/>
      <c r="J619" s="156"/>
      <c r="K619" s="156"/>
      <c r="L619" s="156"/>
      <c r="M619" s="156"/>
      <c r="N619" s="156"/>
      <c r="O619" s="156"/>
      <c r="P619" s="156"/>
      <c r="Q619" s="152"/>
      <c r="R619" s="152"/>
      <c r="S619" s="152"/>
      <c r="T619" s="152"/>
      <c r="U619" s="152"/>
      <c r="V619" s="152"/>
      <c r="W619" s="152"/>
      <c r="X619" s="152"/>
      <c r="Y619" s="149"/>
    </row>
    <row r="620" spans="3:25" s="151" customFormat="1" ht="12.75">
      <c r="C620" s="152"/>
      <c r="D620" s="152"/>
      <c r="E620" s="149"/>
      <c r="F620" s="152"/>
      <c r="G620" s="152"/>
      <c r="H620" s="152"/>
      <c r="I620" s="152"/>
      <c r="J620" s="156"/>
      <c r="K620" s="156"/>
      <c r="L620" s="156"/>
      <c r="M620" s="156"/>
      <c r="N620" s="156"/>
      <c r="O620" s="156"/>
      <c r="P620" s="156"/>
      <c r="Q620" s="152"/>
      <c r="R620" s="152"/>
      <c r="S620" s="152"/>
      <c r="T620" s="152"/>
      <c r="U620" s="152"/>
      <c r="V620" s="152"/>
      <c r="W620" s="152"/>
      <c r="X620" s="152"/>
      <c r="Y620" s="149"/>
    </row>
    <row r="621" spans="3:25" s="151" customFormat="1" ht="12.75">
      <c r="C621" s="152"/>
      <c r="D621" s="152"/>
      <c r="E621" s="149"/>
      <c r="F621" s="152"/>
      <c r="G621" s="152"/>
      <c r="H621" s="152"/>
      <c r="I621" s="152"/>
      <c r="J621" s="156"/>
      <c r="K621" s="156"/>
      <c r="L621" s="156"/>
      <c r="M621" s="156"/>
      <c r="N621" s="156"/>
      <c r="O621" s="156"/>
      <c r="P621" s="156"/>
      <c r="Q621" s="152"/>
      <c r="R621" s="152"/>
      <c r="S621" s="152"/>
      <c r="T621" s="152"/>
      <c r="U621" s="152"/>
      <c r="V621" s="152"/>
      <c r="W621" s="152"/>
      <c r="X621" s="152"/>
      <c r="Y621" s="149"/>
    </row>
    <row r="622" spans="3:25" s="151" customFormat="1" ht="12.75">
      <c r="C622" s="152"/>
      <c r="D622" s="152"/>
      <c r="E622" s="149"/>
      <c r="F622" s="152"/>
      <c r="G622" s="152"/>
      <c r="H622" s="152"/>
      <c r="I622" s="152"/>
      <c r="J622" s="156"/>
      <c r="K622" s="156"/>
      <c r="L622" s="156"/>
      <c r="M622" s="156"/>
      <c r="N622" s="156"/>
      <c r="O622" s="156"/>
      <c r="P622" s="156"/>
      <c r="Q622" s="152"/>
      <c r="R622" s="152"/>
      <c r="S622" s="152"/>
      <c r="T622" s="152"/>
      <c r="U622" s="152"/>
      <c r="V622" s="152"/>
      <c r="W622" s="152"/>
      <c r="X622" s="152"/>
      <c r="Y622" s="149"/>
    </row>
    <row r="623" spans="3:25" s="151" customFormat="1" ht="12.75">
      <c r="C623" s="152"/>
      <c r="D623" s="152"/>
      <c r="E623" s="149"/>
      <c r="F623" s="152"/>
      <c r="G623" s="152"/>
      <c r="H623" s="152"/>
      <c r="I623" s="152"/>
      <c r="J623" s="156"/>
      <c r="K623" s="156"/>
      <c r="L623" s="156"/>
      <c r="M623" s="156"/>
      <c r="N623" s="156"/>
      <c r="O623" s="156"/>
      <c r="P623" s="156"/>
      <c r="Q623" s="152"/>
      <c r="R623" s="152"/>
      <c r="S623" s="152"/>
      <c r="T623" s="152"/>
      <c r="U623" s="152"/>
      <c r="V623" s="152"/>
      <c r="W623" s="152"/>
      <c r="X623" s="152"/>
      <c r="Y623" s="149"/>
    </row>
    <row r="624" spans="3:25" s="151" customFormat="1" ht="12.75">
      <c r="C624" s="152"/>
      <c r="D624" s="152"/>
      <c r="E624" s="149"/>
      <c r="F624" s="152"/>
      <c r="G624" s="152"/>
      <c r="H624" s="152"/>
      <c r="I624" s="152"/>
      <c r="J624" s="156"/>
      <c r="K624" s="156"/>
      <c r="L624" s="156"/>
      <c r="M624" s="156"/>
      <c r="N624" s="156"/>
      <c r="O624" s="156"/>
      <c r="P624" s="156"/>
      <c r="Q624" s="152"/>
      <c r="R624" s="152"/>
      <c r="S624" s="152"/>
      <c r="T624" s="152"/>
      <c r="U624" s="152"/>
      <c r="V624" s="152"/>
      <c r="W624" s="152"/>
      <c r="X624" s="152"/>
      <c r="Y624" s="149"/>
    </row>
    <row r="625" spans="3:25" s="151" customFormat="1" ht="12.75">
      <c r="C625" s="152"/>
      <c r="D625" s="152"/>
      <c r="E625" s="149"/>
      <c r="F625" s="152"/>
      <c r="G625" s="152"/>
      <c r="H625" s="152"/>
      <c r="I625" s="152"/>
      <c r="J625" s="156"/>
      <c r="K625" s="156"/>
      <c r="L625" s="156"/>
      <c r="M625" s="156"/>
      <c r="N625" s="156"/>
      <c r="O625" s="156"/>
      <c r="P625" s="156"/>
      <c r="Q625" s="152"/>
      <c r="R625" s="152"/>
      <c r="S625" s="152"/>
      <c r="T625" s="152"/>
      <c r="U625" s="152"/>
      <c r="V625" s="152"/>
      <c r="W625" s="152"/>
      <c r="X625" s="152"/>
      <c r="Y625" s="149"/>
    </row>
    <row r="626" spans="3:25" s="151" customFormat="1" ht="12.75">
      <c r="C626" s="152"/>
      <c r="D626" s="152"/>
      <c r="E626" s="149"/>
      <c r="F626" s="152"/>
      <c r="G626" s="152"/>
      <c r="H626" s="152"/>
      <c r="I626" s="152"/>
      <c r="J626" s="156"/>
      <c r="K626" s="156"/>
      <c r="L626" s="156"/>
      <c r="M626" s="156"/>
      <c r="N626" s="156"/>
      <c r="O626" s="156"/>
      <c r="P626" s="156"/>
      <c r="Q626" s="152"/>
      <c r="R626" s="152"/>
      <c r="S626" s="152"/>
      <c r="T626" s="152"/>
      <c r="U626" s="152"/>
      <c r="V626" s="152"/>
      <c r="W626" s="152"/>
      <c r="X626" s="152"/>
      <c r="Y626" s="149"/>
    </row>
    <row r="627" spans="3:25" s="151" customFormat="1" ht="12.75">
      <c r="C627" s="152"/>
      <c r="D627" s="152"/>
      <c r="E627" s="149"/>
      <c r="F627" s="152"/>
      <c r="G627" s="152"/>
      <c r="H627" s="152"/>
      <c r="I627" s="152"/>
      <c r="J627" s="156"/>
      <c r="K627" s="156"/>
      <c r="L627" s="156"/>
      <c r="M627" s="156"/>
      <c r="N627" s="156"/>
      <c r="O627" s="156"/>
      <c r="P627" s="156"/>
      <c r="Q627" s="152"/>
      <c r="R627" s="152"/>
      <c r="S627" s="152"/>
      <c r="T627" s="152"/>
      <c r="U627" s="152"/>
      <c r="V627" s="152"/>
      <c r="W627" s="152"/>
      <c r="X627" s="152"/>
      <c r="Y627" s="149"/>
    </row>
    <row r="628" spans="3:25" s="151" customFormat="1" ht="12.75">
      <c r="C628" s="152"/>
      <c r="D628" s="152"/>
      <c r="E628" s="149"/>
      <c r="F628" s="152"/>
      <c r="G628" s="152"/>
      <c r="H628" s="152"/>
      <c r="I628" s="152"/>
      <c r="J628" s="156"/>
      <c r="K628" s="156"/>
      <c r="L628" s="156"/>
      <c r="M628" s="156"/>
      <c r="N628" s="156"/>
      <c r="O628" s="156"/>
      <c r="P628" s="156"/>
      <c r="Q628" s="152"/>
      <c r="R628" s="152"/>
      <c r="S628" s="152"/>
      <c r="T628" s="152"/>
      <c r="U628" s="152"/>
      <c r="V628" s="152"/>
      <c r="W628" s="152"/>
      <c r="X628" s="152"/>
      <c r="Y628" s="149"/>
    </row>
    <row r="629" spans="3:25" s="151" customFormat="1" ht="12.75">
      <c r="C629" s="152"/>
      <c r="D629" s="152"/>
      <c r="E629" s="149"/>
      <c r="F629" s="152"/>
      <c r="G629" s="152"/>
      <c r="H629" s="152"/>
      <c r="I629" s="152"/>
      <c r="J629" s="156"/>
      <c r="K629" s="156"/>
      <c r="L629" s="156"/>
      <c r="M629" s="156"/>
      <c r="N629" s="156"/>
      <c r="O629" s="156"/>
      <c r="P629" s="156"/>
      <c r="Q629" s="152"/>
      <c r="R629" s="152"/>
      <c r="S629" s="152"/>
      <c r="T629" s="152"/>
      <c r="U629" s="152"/>
      <c r="V629" s="152"/>
      <c r="W629" s="152"/>
      <c r="X629" s="152"/>
      <c r="Y629" s="149"/>
    </row>
    <row r="630" spans="3:25" s="151" customFormat="1" ht="12.75">
      <c r="C630" s="152"/>
      <c r="D630" s="152"/>
      <c r="E630" s="149"/>
      <c r="F630" s="152"/>
      <c r="G630" s="152"/>
      <c r="H630" s="152"/>
      <c r="I630" s="152"/>
      <c r="J630" s="156"/>
      <c r="K630" s="156"/>
      <c r="L630" s="156"/>
      <c r="M630" s="156"/>
      <c r="N630" s="156"/>
      <c r="O630" s="156"/>
      <c r="P630" s="156"/>
      <c r="Q630" s="152"/>
      <c r="R630" s="152"/>
      <c r="S630" s="152"/>
      <c r="T630" s="152"/>
      <c r="U630" s="152"/>
      <c r="V630" s="152"/>
      <c r="W630" s="152"/>
      <c r="X630" s="152"/>
      <c r="Y630" s="149"/>
    </row>
    <row r="631" spans="3:25" s="151" customFormat="1" ht="12.75">
      <c r="C631" s="152"/>
      <c r="D631" s="152"/>
      <c r="E631" s="149"/>
      <c r="F631" s="152"/>
      <c r="G631" s="152"/>
      <c r="H631" s="152"/>
      <c r="I631" s="152"/>
      <c r="J631" s="156"/>
      <c r="K631" s="156"/>
      <c r="L631" s="156"/>
      <c r="M631" s="156"/>
      <c r="N631" s="156"/>
      <c r="O631" s="156"/>
      <c r="P631" s="156"/>
      <c r="Q631" s="152"/>
      <c r="R631" s="152"/>
      <c r="S631" s="152"/>
      <c r="T631" s="152"/>
      <c r="U631" s="152"/>
      <c r="V631" s="152"/>
      <c r="W631" s="152"/>
      <c r="X631" s="152"/>
      <c r="Y631" s="149"/>
    </row>
    <row r="632" spans="3:25" s="151" customFormat="1" ht="12.75">
      <c r="C632" s="152"/>
      <c r="D632" s="152"/>
      <c r="E632" s="149"/>
      <c r="F632" s="152"/>
      <c r="G632" s="152"/>
      <c r="H632" s="152"/>
      <c r="I632" s="152"/>
      <c r="J632" s="156"/>
      <c r="K632" s="156"/>
      <c r="L632" s="156"/>
      <c r="M632" s="156"/>
      <c r="N632" s="156"/>
      <c r="O632" s="156"/>
      <c r="P632" s="156"/>
      <c r="Q632" s="152"/>
      <c r="R632" s="152"/>
      <c r="S632" s="152"/>
      <c r="T632" s="152"/>
      <c r="U632" s="152"/>
      <c r="V632" s="152"/>
      <c r="W632" s="152"/>
      <c r="X632" s="152"/>
      <c r="Y632" s="149"/>
    </row>
    <row r="633" spans="3:25" s="151" customFormat="1" ht="12.75">
      <c r="C633" s="152"/>
      <c r="D633" s="152"/>
      <c r="E633" s="149"/>
      <c r="F633" s="152"/>
      <c r="G633" s="152"/>
      <c r="H633" s="152"/>
      <c r="I633" s="152"/>
      <c r="J633" s="156"/>
      <c r="K633" s="156"/>
      <c r="L633" s="156"/>
      <c r="M633" s="156"/>
      <c r="N633" s="156"/>
      <c r="O633" s="156"/>
      <c r="P633" s="156"/>
      <c r="Q633" s="152"/>
      <c r="R633" s="152"/>
      <c r="S633" s="152"/>
      <c r="T633" s="152"/>
      <c r="U633" s="152"/>
      <c r="V633" s="152"/>
      <c r="W633" s="152"/>
      <c r="X633" s="152"/>
      <c r="Y633" s="149"/>
    </row>
    <row r="634" spans="3:25" s="151" customFormat="1" ht="12.75">
      <c r="C634" s="152"/>
      <c r="D634" s="152"/>
      <c r="E634" s="149"/>
      <c r="F634" s="152"/>
      <c r="G634" s="152"/>
      <c r="H634" s="152"/>
      <c r="I634" s="152"/>
      <c r="J634" s="156"/>
      <c r="K634" s="156"/>
      <c r="L634" s="156"/>
      <c r="M634" s="156"/>
      <c r="N634" s="156"/>
      <c r="O634" s="156"/>
      <c r="P634" s="156"/>
      <c r="Q634" s="152"/>
      <c r="R634" s="152"/>
      <c r="S634" s="152"/>
      <c r="T634" s="152"/>
      <c r="U634" s="152"/>
      <c r="V634" s="152"/>
      <c r="W634" s="152"/>
      <c r="X634" s="152"/>
      <c r="Y634" s="149"/>
    </row>
    <row r="635" spans="3:25" s="151" customFormat="1" ht="12.75">
      <c r="C635" s="152"/>
      <c r="D635" s="152"/>
      <c r="E635" s="149"/>
      <c r="F635" s="152"/>
      <c r="G635" s="152"/>
      <c r="H635" s="152"/>
      <c r="I635" s="152"/>
      <c r="J635" s="156"/>
      <c r="K635" s="156"/>
      <c r="L635" s="156"/>
      <c r="M635" s="156"/>
      <c r="N635" s="156"/>
      <c r="O635" s="156"/>
      <c r="P635" s="156"/>
      <c r="Q635" s="152"/>
      <c r="R635" s="152"/>
      <c r="S635" s="152"/>
      <c r="T635" s="152"/>
      <c r="U635" s="152"/>
      <c r="V635" s="152"/>
      <c r="W635" s="152"/>
      <c r="X635" s="152"/>
      <c r="Y635" s="149"/>
    </row>
    <row r="636" spans="3:25" s="151" customFormat="1" ht="12.75">
      <c r="C636" s="152"/>
      <c r="D636" s="152"/>
      <c r="E636" s="149"/>
      <c r="F636" s="152"/>
      <c r="G636" s="152"/>
      <c r="H636" s="152"/>
      <c r="I636" s="152"/>
      <c r="J636" s="156"/>
      <c r="K636" s="156"/>
      <c r="L636" s="156"/>
      <c r="M636" s="156"/>
      <c r="N636" s="156"/>
      <c r="O636" s="156"/>
      <c r="P636" s="156"/>
      <c r="Q636" s="152"/>
      <c r="R636" s="152"/>
      <c r="S636" s="152"/>
      <c r="T636" s="152"/>
      <c r="U636" s="152"/>
      <c r="V636" s="152"/>
      <c r="W636" s="152"/>
      <c r="X636" s="152"/>
      <c r="Y636" s="149"/>
    </row>
    <row r="637" spans="3:25" s="151" customFormat="1" ht="12.75">
      <c r="C637" s="152"/>
      <c r="D637" s="152"/>
      <c r="E637" s="149"/>
      <c r="F637" s="152"/>
      <c r="G637" s="152"/>
      <c r="H637" s="152"/>
      <c r="I637" s="152"/>
      <c r="J637" s="156"/>
      <c r="K637" s="156"/>
      <c r="L637" s="156"/>
      <c r="M637" s="156"/>
      <c r="N637" s="156"/>
      <c r="O637" s="156"/>
      <c r="P637" s="156"/>
      <c r="Q637" s="152"/>
      <c r="R637" s="152"/>
      <c r="S637" s="152"/>
      <c r="T637" s="152"/>
      <c r="U637" s="152"/>
      <c r="V637" s="152"/>
      <c r="W637" s="152"/>
      <c r="X637" s="152"/>
      <c r="Y637" s="149"/>
    </row>
    <row r="638" spans="3:25" s="151" customFormat="1" ht="12.75">
      <c r="C638" s="152"/>
      <c r="D638" s="152"/>
      <c r="E638" s="149"/>
      <c r="F638" s="152"/>
      <c r="G638" s="152"/>
      <c r="H638" s="152"/>
      <c r="I638" s="152"/>
      <c r="J638" s="156"/>
      <c r="K638" s="156"/>
      <c r="L638" s="156"/>
      <c r="M638" s="156"/>
      <c r="N638" s="156"/>
      <c r="O638" s="156"/>
      <c r="P638" s="156"/>
      <c r="Q638" s="152"/>
      <c r="R638" s="152"/>
      <c r="S638" s="152"/>
      <c r="T638" s="152"/>
      <c r="U638" s="152"/>
      <c r="V638" s="152"/>
      <c r="W638" s="152"/>
      <c r="X638" s="152"/>
      <c r="Y638" s="149"/>
    </row>
    <row r="639" spans="3:25" s="151" customFormat="1" ht="12.75">
      <c r="C639" s="152"/>
      <c r="D639" s="152"/>
      <c r="E639" s="149"/>
      <c r="F639" s="152"/>
      <c r="G639" s="152"/>
      <c r="H639" s="152"/>
      <c r="I639" s="152"/>
      <c r="J639" s="156"/>
      <c r="K639" s="156"/>
      <c r="L639" s="156"/>
      <c r="M639" s="156"/>
      <c r="N639" s="156"/>
      <c r="O639" s="156"/>
      <c r="P639" s="156"/>
      <c r="Q639" s="152"/>
      <c r="R639" s="152"/>
      <c r="S639" s="152"/>
      <c r="T639" s="152"/>
      <c r="U639" s="152"/>
      <c r="V639" s="152"/>
      <c r="W639" s="152"/>
      <c r="X639" s="152"/>
      <c r="Y639" s="149"/>
    </row>
    <row r="640" spans="3:25" s="151" customFormat="1" ht="12.75">
      <c r="C640" s="152"/>
      <c r="D640" s="152"/>
      <c r="E640" s="149"/>
      <c r="F640" s="152"/>
      <c r="G640" s="152"/>
      <c r="H640" s="152"/>
      <c r="I640" s="152"/>
      <c r="J640" s="156"/>
      <c r="K640" s="156"/>
      <c r="L640" s="156"/>
      <c r="M640" s="156"/>
      <c r="N640" s="156"/>
      <c r="O640" s="156"/>
      <c r="P640" s="156"/>
      <c r="Q640" s="152"/>
      <c r="R640" s="152"/>
      <c r="S640" s="152"/>
      <c r="T640" s="152"/>
      <c r="U640" s="152"/>
      <c r="V640" s="152"/>
      <c r="W640" s="152"/>
      <c r="X640" s="152"/>
      <c r="Y640" s="149"/>
    </row>
    <row r="641" spans="3:25" s="151" customFormat="1" ht="12.75">
      <c r="C641" s="152"/>
      <c r="D641" s="152"/>
      <c r="E641" s="149"/>
      <c r="F641" s="152"/>
      <c r="G641" s="152"/>
      <c r="H641" s="152"/>
      <c r="I641" s="152"/>
      <c r="J641" s="156"/>
      <c r="K641" s="156"/>
      <c r="L641" s="156"/>
      <c r="M641" s="156"/>
      <c r="N641" s="156"/>
      <c r="O641" s="156"/>
      <c r="P641" s="156"/>
      <c r="Q641" s="152"/>
      <c r="R641" s="152"/>
      <c r="S641" s="152"/>
      <c r="T641" s="152"/>
      <c r="U641" s="152"/>
      <c r="V641" s="152"/>
      <c r="W641" s="152"/>
      <c r="X641" s="152"/>
      <c r="Y641" s="149"/>
    </row>
    <row r="642" spans="3:25" s="151" customFormat="1" ht="12.75">
      <c r="C642" s="152"/>
      <c r="D642" s="152"/>
      <c r="E642" s="149"/>
      <c r="F642" s="152"/>
      <c r="G642" s="152"/>
      <c r="H642" s="152"/>
      <c r="I642" s="152"/>
      <c r="J642" s="156"/>
      <c r="K642" s="156"/>
      <c r="L642" s="156"/>
      <c r="M642" s="156"/>
      <c r="N642" s="156"/>
      <c r="O642" s="156"/>
      <c r="P642" s="156"/>
      <c r="Q642" s="152"/>
      <c r="R642" s="152"/>
      <c r="S642" s="152"/>
      <c r="T642" s="152"/>
      <c r="U642" s="152"/>
      <c r="V642" s="152"/>
      <c r="W642" s="152"/>
      <c r="X642" s="152"/>
      <c r="Y642" s="149"/>
    </row>
    <row r="643" spans="3:25" s="151" customFormat="1" ht="12.75">
      <c r="C643" s="152"/>
      <c r="D643" s="152"/>
      <c r="E643" s="149"/>
      <c r="F643" s="152"/>
      <c r="G643" s="152"/>
      <c r="H643" s="152"/>
      <c r="I643" s="152"/>
      <c r="J643" s="156"/>
      <c r="K643" s="156"/>
      <c r="L643" s="156"/>
      <c r="M643" s="156"/>
      <c r="N643" s="156"/>
      <c r="O643" s="156"/>
      <c r="P643" s="156"/>
      <c r="Q643" s="152"/>
      <c r="R643" s="152"/>
      <c r="S643" s="152"/>
      <c r="T643" s="152"/>
      <c r="U643" s="152"/>
      <c r="V643" s="152"/>
      <c r="W643" s="152"/>
      <c r="X643" s="152"/>
      <c r="Y643" s="149"/>
    </row>
    <row r="644" spans="3:25" s="151" customFormat="1" ht="12.75">
      <c r="C644" s="152"/>
      <c r="D644" s="152"/>
      <c r="E644" s="149"/>
      <c r="F644" s="152"/>
      <c r="G644" s="152"/>
      <c r="H644" s="152"/>
      <c r="I644" s="152"/>
      <c r="J644" s="156"/>
      <c r="K644" s="156"/>
      <c r="L644" s="156"/>
      <c r="M644" s="156"/>
      <c r="N644" s="156"/>
      <c r="O644" s="156"/>
      <c r="P644" s="156"/>
      <c r="Q644" s="152"/>
      <c r="R644" s="152"/>
      <c r="S644" s="152"/>
      <c r="T644" s="152"/>
      <c r="U644" s="152"/>
      <c r="V644" s="152"/>
      <c r="W644" s="152"/>
      <c r="X644" s="152"/>
      <c r="Y644" s="149"/>
    </row>
    <row r="645" spans="3:25" s="151" customFormat="1" ht="12.75">
      <c r="C645" s="152"/>
      <c r="D645" s="152"/>
      <c r="E645" s="149"/>
      <c r="F645" s="152"/>
      <c r="G645" s="152"/>
      <c r="H645" s="152"/>
      <c r="I645" s="152"/>
      <c r="J645" s="156"/>
      <c r="K645" s="156"/>
      <c r="L645" s="156"/>
      <c r="M645" s="156"/>
      <c r="N645" s="156"/>
      <c r="O645" s="156"/>
      <c r="P645" s="156"/>
      <c r="Q645" s="152"/>
      <c r="R645" s="152"/>
      <c r="S645" s="152"/>
      <c r="T645" s="152"/>
      <c r="U645" s="152"/>
      <c r="V645" s="152"/>
      <c r="W645" s="152"/>
      <c r="X645" s="152"/>
      <c r="Y645" s="149"/>
    </row>
    <row r="646" spans="3:25" s="151" customFormat="1" ht="12.75">
      <c r="C646" s="152"/>
      <c r="D646" s="152"/>
      <c r="E646" s="149"/>
      <c r="F646" s="152"/>
      <c r="G646" s="152"/>
      <c r="H646" s="152"/>
      <c r="I646" s="152"/>
      <c r="J646" s="156"/>
      <c r="K646" s="156"/>
      <c r="L646" s="156"/>
      <c r="M646" s="156"/>
      <c r="N646" s="156"/>
      <c r="O646" s="156"/>
      <c r="P646" s="156"/>
      <c r="Q646" s="152"/>
      <c r="R646" s="152"/>
      <c r="S646" s="152"/>
      <c r="T646" s="152"/>
      <c r="U646" s="152"/>
      <c r="V646" s="152"/>
      <c r="W646" s="152"/>
      <c r="X646" s="152"/>
      <c r="Y646" s="149"/>
    </row>
    <row r="647" spans="3:25" s="151" customFormat="1" ht="12.75">
      <c r="C647" s="152"/>
      <c r="D647" s="152"/>
      <c r="E647" s="149"/>
      <c r="F647" s="152"/>
      <c r="G647" s="152"/>
      <c r="H647" s="152"/>
      <c r="I647" s="152"/>
      <c r="J647" s="156"/>
      <c r="K647" s="156"/>
      <c r="L647" s="156"/>
      <c r="M647" s="156"/>
      <c r="N647" s="156"/>
      <c r="O647" s="156"/>
      <c r="P647" s="156"/>
      <c r="Q647" s="152"/>
      <c r="R647" s="152"/>
      <c r="S647" s="152"/>
      <c r="T647" s="152"/>
      <c r="U647" s="152"/>
      <c r="V647" s="152"/>
      <c r="W647" s="152"/>
      <c r="X647" s="152"/>
      <c r="Y647" s="149"/>
    </row>
    <row r="648" spans="3:25" s="151" customFormat="1" ht="12.75">
      <c r="C648" s="152"/>
      <c r="D648" s="152"/>
      <c r="E648" s="149"/>
      <c r="F648" s="152"/>
      <c r="G648" s="152"/>
      <c r="H648" s="152"/>
      <c r="I648" s="152"/>
      <c r="J648" s="156"/>
      <c r="K648" s="156"/>
      <c r="L648" s="156"/>
      <c r="M648" s="156"/>
      <c r="N648" s="156"/>
      <c r="O648" s="156"/>
      <c r="P648" s="156"/>
      <c r="Q648" s="152"/>
      <c r="R648" s="152"/>
      <c r="S648" s="152"/>
      <c r="T648" s="152"/>
      <c r="U648" s="152"/>
      <c r="V648" s="152"/>
      <c r="W648" s="152"/>
      <c r="X648" s="152"/>
      <c r="Y648" s="149"/>
    </row>
    <row r="649" spans="3:25" s="151" customFormat="1" ht="12.75">
      <c r="C649" s="152"/>
      <c r="D649" s="152"/>
      <c r="E649" s="149"/>
      <c r="F649" s="152"/>
      <c r="G649" s="152"/>
      <c r="H649" s="152"/>
      <c r="I649" s="152"/>
      <c r="J649" s="156"/>
      <c r="K649" s="156"/>
      <c r="L649" s="156"/>
      <c r="M649" s="156"/>
      <c r="N649" s="156"/>
      <c r="O649" s="156"/>
      <c r="P649" s="156"/>
      <c r="Q649" s="152"/>
      <c r="R649" s="152"/>
      <c r="S649" s="152"/>
      <c r="T649" s="152"/>
      <c r="U649" s="152"/>
      <c r="V649" s="152"/>
      <c r="W649" s="152"/>
      <c r="X649" s="152"/>
      <c r="Y649" s="149"/>
    </row>
    <row r="650" spans="3:25" s="151" customFormat="1" ht="12.75">
      <c r="C650" s="152"/>
      <c r="D650" s="152"/>
      <c r="E650" s="149"/>
      <c r="F650" s="152"/>
      <c r="G650" s="152"/>
      <c r="H650" s="152"/>
      <c r="I650" s="152"/>
      <c r="J650" s="156"/>
      <c r="K650" s="156"/>
      <c r="L650" s="156"/>
      <c r="M650" s="156"/>
      <c r="N650" s="156"/>
      <c r="O650" s="156"/>
      <c r="P650" s="156"/>
      <c r="Q650" s="152"/>
      <c r="R650" s="152"/>
      <c r="S650" s="152"/>
      <c r="T650" s="152"/>
      <c r="U650" s="152"/>
      <c r="V650" s="152"/>
      <c r="W650" s="152"/>
      <c r="X650" s="152"/>
      <c r="Y650" s="149"/>
    </row>
    <row r="651" spans="3:25" s="151" customFormat="1" ht="12.75">
      <c r="C651" s="152"/>
      <c r="D651" s="152"/>
      <c r="E651" s="149"/>
      <c r="F651" s="152"/>
      <c r="G651" s="152"/>
      <c r="H651" s="152"/>
      <c r="I651" s="152"/>
      <c r="J651" s="156"/>
      <c r="K651" s="156"/>
      <c r="L651" s="156"/>
      <c r="M651" s="156"/>
      <c r="N651" s="156"/>
      <c r="O651" s="156"/>
      <c r="P651" s="156"/>
      <c r="Q651" s="152"/>
      <c r="R651" s="152"/>
      <c r="S651" s="152"/>
      <c r="T651" s="152"/>
      <c r="U651" s="152"/>
      <c r="V651" s="152"/>
      <c r="W651" s="152"/>
      <c r="X651" s="152"/>
      <c r="Y651" s="149"/>
    </row>
    <row r="652" spans="3:25" s="151" customFormat="1" ht="12.75">
      <c r="C652" s="152"/>
      <c r="D652" s="152"/>
      <c r="E652" s="149"/>
      <c r="F652" s="152"/>
      <c r="G652" s="152"/>
      <c r="H652" s="152"/>
      <c r="I652" s="152"/>
      <c r="J652" s="156"/>
      <c r="K652" s="156"/>
      <c r="L652" s="156"/>
      <c r="M652" s="156"/>
      <c r="N652" s="156"/>
      <c r="O652" s="156"/>
      <c r="P652" s="156"/>
      <c r="Q652" s="152"/>
      <c r="R652" s="152"/>
      <c r="S652" s="152"/>
      <c r="T652" s="152"/>
      <c r="U652" s="152"/>
      <c r="V652" s="152"/>
      <c r="W652" s="152"/>
      <c r="X652" s="152"/>
      <c r="Y652" s="149"/>
    </row>
    <row r="653" spans="3:25" s="151" customFormat="1" ht="12.75">
      <c r="C653" s="152"/>
      <c r="D653" s="152"/>
      <c r="E653" s="149"/>
      <c r="F653" s="152"/>
      <c r="G653" s="152"/>
      <c r="H653" s="152"/>
      <c r="I653" s="152"/>
      <c r="J653" s="156"/>
      <c r="K653" s="156"/>
      <c r="L653" s="156"/>
      <c r="M653" s="156"/>
      <c r="N653" s="156"/>
      <c r="O653" s="156"/>
      <c r="P653" s="156"/>
      <c r="Q653" s="152"/>
      <c r="R653" s="152"/>
      <c r="S653" s="152"/>
      <c r="T653" s="152"/>
      <c r="U653" s="152"/>
      <c r="V653" s="152"/>
      <c r="W653" s="152"/>
      <c r="X653" s="152"/>
      <c r="Y653" s="149"/>
    </row>
    <row r="654" spans="3:25" s="151" customFormat="1" ht="12.75">
      <c r="C654" s="152"/>
      <c r="D654" s="152"/>
      <c r="E654" s="149"/>
      <c r="F654" s="152"/>
      <c r="G654" s="152"/>
      <c r="H654" s="152"/>
      <c r="I654" s="152"/>
      <c r="J654" s="156"/>
      <c r="K654" s="156"/>
      <c r="L654" s="156"/>
      <c r="M654" s="156"/>
      <c r="N654" s="156"/>
      <c r="O654" s="156"/>
      <c r="P654" s="156"/>
      <c r="Q654" s="152"/>
      <c r="R654" s="152"/>
      <c r="S654" s="152"/>
      <c r="T654" s="152"/>
      <c r="U654" s="152"/>
      <c r="V654" s="152"/>
      <c r="W654" s="152"/>
      <c r="X654" s="152"/>
      <c r="Y654" s="149"/>
    </row>
    <row r="655" spans="3:25" s="151" customFormat="1" ht="12.75">
      <c r="C655" s="152"/>
      <c r="D655" s="152"/>
      <c r="E655" s="149"/>
      <c r="F655" s="152"/>
      <c r="G655" s="152"/>
      <c r="H655" s="152"/>
      <c r="I655" s="152"/>
      <c r="J655" s="156"/>
      <c r="K655" s="156"/>
      <c r="L655" s="156"/>
      <c r="M655" s="156"/>
      <c r="N655" s="156"/>
      <c r="O655" s="156"/>
      <c r="P655" s="156"/>
      <c r="Q655" s="152"/>
      <c r="R655" s="152"/>
      <c r="S655" s="152"/>
      <c r="T655" s="152"/>
      <c r="U655" s="152"/>
      <c r="V655" s="152"/>
      <c r="W655" s="152"/>
      <c r="X655" s="152"/>
      <c r="Y655" s="149"/>
    </row>
    <row r="656" spans="3:25" s="151" customFormat="1" ht="12.75">
      <c r="C656" s="152"/>
      <c r="D656" s="152"/>
      <c r="E656" s="149"/>
      <c r="F656" s="152"/>
      <c r="G656" s="152"/>
      <c r="H656" s="152"/>
      <c r="I656" s="152"/>
      <c r="J656" s="156"/>
      <c r="K656" s="156"/>
      <c r="L656" s="156"/>
      <c r="M656" s="156"/>
      <c r="N656" s="156"/>
      <c r="O656" s="156"/>
      <c r="P656" s="156"/>
      <c r="Q656" s="152"/>
      <c r="R656" s="152"/>
      <c r="S656" s="152"/>
      <c r="T656" s="152"/>
      <c r="U656" s="152"/>
      <c r="V656" s="152"/>
      <c r="W656" s="152"/>
      <c r="X656" s="152"/>
      <c r="Y656" s="149"/>
    </row>
    <row r="657" spans="3:25" s="151" customFormat="1" ht="12.75">
      <c r="C657" s="152"/>
      <c r="D657" s="152"/>
      <c r="E657" s="149"/>
      <c r="F657" s="152"/>
      <c r="G657" s="152"/>
      <c r="H657" s="152"/>
      <c r="I657" s="152"/>
      <c r="J657" s="156"/>
      <c r="K657" s="156"/>
      <c r="L657" s="156"/>
      <c r="M657" s="156"/>
      <c r="N657" s="156"/>
      <c r="O657" s="156"/>
      <c r="P657" s="156"/>
      <c r="Q657" s="152"/>
      <c r="R657" s="152"/>
      <c r="S657" s="152"/>
      <c r="T657" s="152"/>
      <c r="U657" s="152"/>
      <c r="V657" s="152"/>
      <c r="W657" s="152"/>
      <c r="X657" s="152"/>
      <c r="Y657" s="149"/>
    </row>
    <row r="658" spans="3:25" s="151" customFormat="1" ht="12.75">
      <c r="C658" s="152"/>
      <c r="D658" s="152"/>
      <c r="E658" s="149"/>
      <c r="F658" s="152"/>
      <c r="G658" s="152"/>
      <c r="H658" s="152"/>
      <c r="I658" s="152"/>
      <c r="J658" s="156"/>
      <c r="K658" s="156"/>
      <c r="L658" s="156"/>
      <c r="M658" s="156"/>
      <c r="N658" s="156"/>
      <c r="O658" s="156"/>
      <c r="P658" s="156"/>
      <c r="Q658" s="152"/>
      <c r="R658" s="152"/>
      <c r="S658" s="152"/>
      <c r="T658" s="152"/>
      <c r="U658" s="152"/>
      <c r="V658" s="152"/>
      <c r="W658" s="152"/>
      <c r="X658" s="152"/>
      <c r="Y658" s="149"/>
    </row>
    <row r="659" spans="3:25" s="151" customFormat="1" ht="12.75">
      <c r="C659" s="152"/>
      <c r="D659" s="152"/>
      <c r="E659" s="149"/>
      <c r="F659" s="152"/>
      <c r="G659" s="152"/>
      <c r="H659" s="152"/>
      <c r="I659" s="152"/>
      <c r="J659" s="156"/>
      <c r="K659" s="156"/>
      <c r="L659" s="156"/>
      <c r="M659" s="156"/>
      <c r="N659" s="156"/>
      <c r="O659" s="156"/>
      <c r="P659" s="156"/>
      <c r="Q659" s="152"/>
      <c r="R659" s="152"/>
      <c r="S659" s="152"/>
      <c r="T659" s="152"/>
      <c r="U659" s="152"/>
      <c r="V659" s="152"/>
      <c r="W659" s="152"/>
      <c r="X659" s="152"/>
      <c r="Y659" s="149"/>
    </row>
    <row r="660" spans="3:25" s="151" customFormat="1" ht="12.75">
      <c r="C660" s="152"/>
      <c r="D660" s="152"/>
      <c r="E660" s="149"/>
      <c r="F660" s="152"/>
      <c r="G660" s="152"/>
      <c r="H660" s="152"/>
      <c r="I660" s="152"/>
      <c r="J660" s="156"/>
      <c r="K660" s="156"/>
      <c r="L660" s="156"/>
      <c r="M660" s="156"/>
      <c r="N660" s="156"/>
      <c r="O660" s="156"/>
      <c r="P660" s="156"/>
      <c r="Q660" s="152"/>
      <c r="R660" s="152"/>
      <c r="S660" s="152"/>
      <c r="T660" s="152"/>
      <c r="U660" s="152"/>
      <c r="V660" s="152"/>
      <c r="W660" s="152"/>
      <c r="X660" s="152"/>
      <c r="Y660" s="149"/>
    </row>
    <row r="661" spans="3:25" s="151" customFormat="1" ht="12.75">
      <c r="C661" s="152"/>
      <c r="D661" s="152"/>
      <c r="E661" s="149"/>
      <c r="F661" s="152"/>
      <c r="G661" s="152"/>
      <c r="H661" s="152"/>
      <c r="I661" s="152"/>
      <c r="J661" s="156"/>
      <c r="K661" s="156"/>
      <c r="L661" s="156"/>
      <c r="M661" s="156"/>
      <c r="N661" s="156"/>
      <c r="O661" s="156"/>
      <c r="P661" s="156"/>
      <c r="Q661" s="152"/>
      <c r="R661" s="152"/>
      <c r="S661" s="152"/>
      <c r="T661" s="152"/>
      <c r="U661" s="152"/>
      <c r="V661" s="152"/>
      <c r="W661" s="152"/>
      <c r="X661" s="152"/>
      <c r="Y661" s="149"/>
    </row>
    <row r="662" spans="3:25" s="151" customFormat="1" ht="12.75">
      <c r="C662" s="152"/>
      <c r="D662" s="152"/>
      <c r="E662" s="149"/>
      <c r="F662" s="152"/>
      <c r="G662" s="152"/>
      <c r="H662" s="152"/>
      <c r="I662" s="152"/>
      <c r="J662" s="156"/>
      <c r="K662" s="156"/>
      <c r="L662" s="156"/>
      <c r="M662" s="156"/>
      <c r="N662" s="156"/>
      <c r="O662" s="156"/>
      <c r="P662" s="156"/>
      <c r="Q662" s="152"/>
      <c r="R662" s="152"/>
      <c r="S662" s="152"/>
      <c r="T662" s="152"/>
      <c r="U662" s="152"/>
      <c r="V662" s="152"/>
      <c r="W662" s="152"/>
      <c r="X662" s="152"/>
      <c r="Y662" s="149"/>
    </row>
    <row r="663" spans="3:25" s="151" customFormat="1" ht="12.75">
      <c r="C663" s="152"/>
      <c r="D663" s="152"/>
      <c r="E663" s="149"/>
      <c r="F663" s="152"/>
      <c r="G663" s="152"/>
      <c r="H663" s="152"/>
      <c r="I663" s="152"/>
      <c r="J663" s="156"/>
      <c r="K663" s="156"/>
      <c r="L663" s="156"/>
      <c r="M663" s="156"/>
      <c r="N663" s="156"/>
      <c r="O663" s="156"/>
      <c r="P663" s="156"/>
      <c r="Q663" s="152"/>
      <c r="R663" s="152"/>
      <c r="S663" s="152"/>
      <c r="T663" s="152"/>
      <c r="U663" s="152"/>
      <c r="V663" s="152"/>
      <c r="W663" s="152"/>
      <c r="X663" s="152"/>
      <c r="Y663" s="149"/>
    </row>
    <row r="664" spans="3:25" s="151" customFormat="1" ht="12.75">
      <c r="C664" s="152"/>
      <c r="D664" s="152"/>
      <c r="E664" s="149"/>
      <c r="F664" s="152"/>
      <c r="G664" s="152"/>
      <c r="H664" s="152"/>
      <c r="I664" s="152"/>
      <c r="J664" s="156"/>
      <c r="K664" s="156"/>
      <c r="L664" s="156"/>
      <c r="M664" s="156"/>
      <c r="N664" s="156"/>
      <c r="O664" s="156"/>
      <c r="P664" s="156"/>
      <c r="Q664" s="152"/>
      <c r="R664" s="152"/>
      <c r="S664" s="152"/>
      <c r="T664" s="152"/>
      <c r="U664" s="152"/>
      <c r="V664" s="152"/>
      <c r="W664" s="152"/>
      <c r="X664" s="152"/>
      <c r="Y664" s="149"/>
    </row>
    <row r="665" spans="3:25" s="151" customFormat="1" ht="12.75">
      <c r="C665" s="152"/>
      <c r="D665" s="152"/>
      <c r="E665" s="149"/>
      <c r="F665" s="152"/>
      <c r="G665" s="152"/>
      <c r="H665" s="152"/>
      <c r="I665" s="152"/>
      <c r="J665" s="156"/>
      <c r="K665" s="156"/>
      <c r="L665" s="156"/>
      <c r="M665" s="156"/>
      <c r="N665" s="156"/>
      <c r="O665" s="156"/>
      <c r="P665" s="156"/>
      <c r="Q665" s="152"/>
      <c r="R665" s="152"/>
      <c r="S665" s="152"/>
      <c r="T665" s="152"/>
      <c r="U665" s="152"/>
      <c r="V665" s="152"/>
      <c r="W665" s="152"/>
      <c r="X665" s="152"/>
      <c r="Y665" s="149"/>
    </row>
    <row r="666" spans="3:25" s="151" customFormat="1" ht="12.75">
      <c r="C666" s="152"/>
      <c r="D666" s="152"/>
      <c r="E666" s="149"/>
      <c r="F666" s="152"/>
      <c r="G666" s="152"/>
      <c r="H666" s="152"/>
      <c r="I666" s="152"/>
      <c r="J666" s="156"/>
      <c r="K666" s="156"/>
      <c r="L666" s="156"/>
      <c r="M666" s="156"/>
      <c r="N666" s="156"/>
      <c r="O666" s="156"/>
      <c r="P666" s="156"/>
      <c r="Q666" s="152"/>
      <c r="R666" s="152"/>
      <c r="S666" s="152"/>
      <c r="T666" s="152"/>
      <c r="U666" s="152"/>
      <c r="V666" s="152"/>
      <c r="W666" s="152"/>
      <c r="X666" s="152"/>
      <c r="Y666" s="149"/>
    </row>
    <row r="667" spans="3:25" s="151" customFormat="1" ht="12.75">
      <c r="C667" s="152"/>
      <c r="D667" s="152"/>
      <c r="E667" s="149"/>
      <c r="F667" s="152"/>
      <c r="G667" s="152"/>
      <c r="H667" s="152"/>
      <c r="I667" s="152"/>
      <c r="J667" s="156"/>
      <c r="K667" s="156"/>
      <c r="L667" s="156"/>
      <c r="M667" s="156"/>
      <c r="N667" s="156"/>
      <c r="O667" s="156"/>
      <c r="P667" s="156"/>
      <c r="Q667" s="152"/>
      <c r="R667" s="152"/>
      <c r="S667" s="152"/>
      <c r="T667" s="152"/>
      <c r="U667" s="152"/>
      <c r="V667" s="152"/>
      <c r="W667" s="152"/>
      <c r="X667" s="152"/>
      <c r="Y667" s="149"/>
    </row>
    <row r="668" spans="3:25" s="151" customFormat="1" ht="12.75">
      <c r="C668" s="152"/>
      <c r="D668" s="152"/>
      <c r="E668" s="149"/>
      <c r="F668" s="152"/>
      <c r="G668" s="152"/>
      <c r="H668" s="152"/>
      <c r="I668" s="152"/>
      <c r="J668" s="156"/>
      <c r="K668" s="156"/>
      <c r="L668" s="156"/>
      <c r="M668" s="156"/>
      <c r="N668" s="156"/>
      <c r="O668" s="156"/>
      <c r="P668" s="156"/>
      <c r="Q668" s="152"/>
      <c r="R668" s="152"/>
      <c r="S668" s="152"/>
      <c r="T668" s="152"/>
      <c r="U668" s="152"/>
      <c r="V668" s="152"/>
      <c r="W668" s="152"/>
      <c r="X668" s="152"/>
      <c r="Y668" s="149"/>
    </row>
    <row r="669" spans="3:25" s="151" customFormat="1" ht="12.75">
      <c r="C669" s="152"/>
      <c r="D669" s="152"/>
      <c r="E669" s="149"/>
      <c r="F669" s="152"/>
      <c r="G669" s="152"/>
      <c r="H669" s="152"/>
      <c r="I669" s="152"/>
      <c r="J669" s="156"/>
      <c r="K669" s="156"/>
      <c r="L669" s="156"/>
      <c r="M669" s="156"/>
      <c r="N669" s="156"/>
      <c r="O669" s="156"/>
      <c r="P669" s="156"/>
      <c r="Q669" s="152"/>
      <c r="R669" s="152"/>
      <c r="S669" s="152"/>
      <c r="T669" s="152"/>
      <c r="U669" s="152"/>
      <c r="V669" s="152"/>
      <c r="W669" s="152"/>
      <c r="X669" s="152"/>
      <c r="Y669" s="149"/>
    </row>
    <row r="670" spans="3:25" s="151" customFormat="1" ht="12.75">
      <c r="C670" s="152"/>
      <c r="D670" s="152"/>
      <c r="E670" s="149"/>
      <c r="F670" s="152"/>
      <c r="G670" s="152"/>
      <c r="H670" s="152"/>
      <c r="I670" s="152"/>
      <c r="J670" s="156"/>
      <c r="K670" s="156"/>
      <c r="L670" s="156"/>
      <c r="M670" s="156"/>
      <c r="N670" s="156"/>
      <c r="O670" s="156"/>
      <c r="P670" s="156"/>
      <c r="Q670" s="152"/>
      <c r="R670" s="152"/>
      <c r="S670" s="152"/>
      <c r="T670" s="152"/>
      <c r="U670" s="152"/>
      <c r="V670" s="152"/>
      <c r="W670" s="152"/>
      <c r="X670" s="152"/>
      <c r="Y670" s="149"/>
    </row>
    <row r="671" spans="3:25" s="151" customFormat="1" ht="12.75">
      <c r="C671" s="152"/>
      <c r="D671" s="152"/>
      <c r="E671" s="149"/>
      <c r="F671" s="152"/>
      <c r="G671" s="152"/>
      <c r="H671" s="152"/>
      <c r="I671" s="152"/>
      <c r="J671" s="156"/>
      <c r="K671" s="156"/>
      <c r="L671" s="156"/>
      <c r="M671" s="156"/>
      <c r="N671" s="156"/>
      <c r="O671" s="156"/>
      <c r="P671" s="156"/>
      <c r="Q671" s="152"/>
      <c r="R671" s="152"/>
      <c r="S671" s="152"/>
      <c r="T671" s="152"/>
      <c r="U671" s="152"/>
      <c r="V671" s="152"/>
      <c r="W671" s="152"/>
      <c r="X671" s="152"/>
      <c r="Y671" s="149"/>
    </row>
    <row r="672" spans="3:25" s="151" customFormat="1" ht="12.75">
      <c r="C672" s="152"/>
      <c r="D672" s="152"/>
      <c r="E672" s="149"/>
      <c r="F672" s="152"/>
      <c r="G672" s="152"/>
      <c r="H672" s="152"/>
      <c r="I672" s="152"/>
      <c r="J672" s="156"/>
      <c r="K672" s="156"/>
      <c r="L672" s="156"/>
      <c r="M672" s="156"/>
      <c r="N672" s="156"/>
      <c r="O672" s="156"/>
      <c r="P672" s="156"/>
      <c r="Q672" s="152"/>
      <c r="R672" s="152"/>
      <c r="S672" s="152"/>
      <c r="T672" s="152"/>
      <c r="U672" s="152"/>
      <c r="V672" s="152"/>
      <c r="W672" s="152"/>
      <c r="X672" s="152"/>
      <c r="Y672" s="149"/>
    </row>
    <row r="673" spans="3:25" s="151" customFormat="1" ht="12.75">
      <c r="C673" s="152"/>
      <c r="D673" s="152"/>
      <c r="E673" s="149"/>
      <c r="F673" s="152"/>
      <c r="G673" s="152"/>
      <c r="H673" s="152"/>
      <c r="I673" s="152"/>
      <c r="J673" s="156"/>
      <c r="K673" s="156"/>
      <c r="L673" s="156"/>
      <c r="M673" s="156"/>
      <c r="N673" s="156"/>
      <c r="O673" s="156"/>
      <c r="P673" s="156"/>
      <c r="Q673" s="152"/>
      <c r="R673" s="152"/>
      <c r="S673" s="152"/>
      <c r="T673" s="152"/>
      <c r="U673" s="152"/>
      <c r="V673" s="152"/>
      <c r="W673" s="152"/>
      <c r="X673" s="152"/>
      <c r="Y673" s="149"/>
    </row>
    <row r="674" spans="3:25" s="151" customFormat="1" ht="12.75">
      <c r="C674" s="152"/>
      <c r="D674" s="152"/>
      <c r="E674" s="149"/>
      <c r="F674" s="152"/>
      <c r="G674" s="152"/>
      <c r="H674" s="152"/>
      <c r="I674" s="152"/>
      <c r="J674" s="156"/>
      <c r="K674" s="156"/>
      <c r="L674" s="156"/>
      <c r="M674" s="156"/>
      <c r="N674" s="156"/>
      <c r="O674" s="156"/>
      <c r="P674" s="156"/>
      <c r="Q674" s="152"/>
      <c r="R674" s="152"/>
      <c r="S674" s="152"/>
      <c r="T674" s="152"/>
      <c r="U674" s="152"/>
      <c r="V674" s="152"/>
      <c r="W674" s="152"/>
      <c r="X674" s="152"/>
      <c r="Y674" s="149"/>
    </row>
    <row r="675" spans="3:25" s="151" customFormat="1" ht="12.75">
      <c r="C675" s="152"/>
      <c r="D675" s="152"/>
      <c r="E675" s="149"/>
      <c r="F675" s="152"/>
      <c r="G675" s="152"/>
      <c r="H675" s="152"/>
      <c r="I675" s="152"/>
      <c r="J675" s="156"/>
      <c r="K675" s="156"/>
      <c r="L675" s="156"/>
      <c r="M675" s="156"/>
      <c r="N675" s="156"/>
      <c r="O675" s="156"/>
      <c r="P675" s="156"/>
      <c r="Q675" s="152"/>
      <c r="R675" s="152"/>
      <c r="S675" s="152"/>
      <c r="T675" s="152"/>
      <c r="U675" s="152"/>
      <c r="V675" s="152"/>
      <c r="W675" s="152"/>
      <c r="X675" s="152"/>
      <c r="Y675" s="149"/>
    </row>
    <row r="676" spans="3:25" s="151" customFormat="1" ht="12.75">
      <c r="C676" s="152"/>
      <c r="D676" s="152"/>
      <c r="E676" s="149"/>
      <c r="F676" s="152"/>
      <c r="G676" s="152"/>
      <c r="H676" s="152"/>
      <c r="I676" s="152"/>
      <c r="J676" s="156"/>
      <c r="K676" s="156"/>
      <c r="L676" s="156"/>
      <c r="M676" s="156"/>
      <c r="N676" s="156"/>
      <c r="O676" s="156"/>
      <c r="P676" s="156"/>
      <c r="Q676" s="152"/>
      <c r="R676" s="152"/>
      <c r="S676" s="152"/>
      <c r="T676" s="152"/>
      <c r="U676" s="152"/>
      <c r="V676" s="152"/>
      <c r="W676" s="152"/>
      <c r="X676" s="152"/>
      <c r="Y676" s="149"/>
    </row>
    <row r="677" spans="3:25" s="151" customFormat="1" ht="12.75">
      <c r="C677" s="152"/>
      <c r="D677" s="152"/>
      <c r="E677" s="149"/>
      <c r="F677" s="152"/>
      <c r="G677" s="152"/>
      <c r="H677" s="152"/>
      <c r="I677" s="152"/>
      <c r="J677" s="156"/>
      <c r="K677" s="156"/>
      <c r="L677" s="156"/>
      <c r="M677" s="156"/>
      <c r="N677" s="156"/>
      <c r="O677" s="156"/>
      <c r="P677" s="156"/>
      <c r="Q677" s="152"/>
      <c r="R677" s="152"/>
      <c r="S677" s="152"/>
      <c r="T677" s="152"/>
      <c r="U677" s="152"/>
      <c r="V677" s="152"/>
      <c r="W677" s="152"/>
      <c r="X677" s="152"/>
      <c r="Y677" s="149"/>
    </row>
    <row r="678" spans="3:25" s="151" customFormat="1" ht="12.75">
      <c r="C678" s="152"/>
      <c r="D678" s="152"/>
      <c r="E678" s="149"/>
      <c r="F678" s="152"/>
      <c r="G678" s="152"/>
      <c r="H678" s="152"/>
      <c r="I678" s="152"/>
      <c r="J678" s="156"/>
      <c r="K678" s="156"/>
      <c r="L678" s="156"/>
      <c r="M678" s="156"/>
      <c r="N678" s="156"/>
      <c r="O678" s="156"/>
      <c r="P678" s="156"/>
      <c r="Q678" s="152"/>
      <c r="R678" s="152"/>
      <c r="S678" s="152"/>
      <c r="T678" s="152"/>
      <c r="U678" s="152"/>
      <c r="V678" s="152"/>
      <c r="W678" s="152"/>
      <c r="X678" s="152"/>
      <c r="Y678" s="149"/>
    </row>
    <row r="679" spans="3:25" s="151" customFormat="1" ht="12.75">
      <c r="C679" s="152"/>
      <c r="D679" s="152"/>
      <c r="E679" s="149"/>
      <c r="F679" s="152"/>
      <c r="G679" s="152"/>
      <c r="H679" s="152"/>
      <c r="I679" s="152"/>
      <c r="J679" s="156"/>
      <c r="K679" s="156"/>
      <c r="L679" s="156"/>
      <c r="M679" s="156"/>
      <c r="N679" s="156"/>
      <c r="O679" s="156"/>
      <c r="P679" s="156"/>
      <c r="Q679" s="152"/>
      <c r="R679" s="152"/>
      <c r="S679" s="152"/>
      <c r="T679" s="152"/>
      <c r="U679" s="152"/>
      <c r="V679" s="152"/>
      <c r="W679" s="152"/>
      <c r="X679" s="152"/>
      <c r="Y679" s="149"/>
    </row>
    <row r="680" spans="3:25" s="151" customFormat="1" ht="12.75">
      <c r="C680" s="152"/>
      <c r="D680" s="152"/>
      <c r="E680" s="149"/>
      <c r="F680" s="152"/>
      <c r="G680" s="152"/>
      <c r="H680" s="152"/>
      <c r="I680" s="152"/>
      <c r="J680" s="156"/>
      <c r="K680" s="156"/>
      <c r="L680" s="156"/>
      <c r="M680" s="156"/>
      <c r="N680" s="156"/>
      <c r="O680" s="156"/>
      <c r="P680" s="156"/>
      <c r="Q680" s="152"/>
      <c r="R680" s="152"/>
      <c r="S680" s="152"/>
      <c r="T680" s="152"/>
      <c r="U680" s="152"/>
      <c r="V680" s="152"/>
      <c r="W680" s="152"/>
      <c r="X680" s="152"/>
      <c r="Y680" s="149"/>
    </row>
    <row r="681" spans="3:25" s="151" customFormat="1" ht="12.75">
      <c r="C681" s="152"/>
      <c r="D681" s="152"/>
      <c r="E681" s="149"/>
      <c r="F681" s="152"/>
      <c r="G681" s="152"/>
      <c r="H681" s="152"/>
      <c r="I681" s="152"/>
      <c r="J681" s="156"/>
      <c r="K681" s="156"/>
      <c r="L681" s="156"/>
      <c r="M681" s="156"/>
      <c r="N681" s="156"/>
      <c r="O681" s="156"/>
      <c r="P681" s="156"/>
      <c r="Q681" s="152"/>
      <c r="R681" s="152"/>
      <c r="S681" s="152"/>
      <c r="T681" s="152"/>
      <c r="U681" s="152"/>
      <c r="V681" s="152"/>
      <c r="W681" s="152"/>
      <c r="X681" s="152"/>
      <c r="Y681" s="149"/>
    </row>
    <row r="682" spans="3:25" s="151" customFormat="1" ht="12.75">
      <c r="C682" s="152"/>
      <c r="D682" s="152"/>
      <c r="E682" s="149"/>
      <c r="F682" s="152"/>
      <c r="G682" s="152"/>
      <c r="H682" s="152"/>
      <c r="I682" s="152"/>
      <c r="J682" s="156"/>
      <c r="K682" s="156"/>
      <c r="L682" s="156"/>
      <c r="M682" s="156"/>
      <c r="N682" s="156"/>
      <c r="O682" s="156"/>
      <c r="P682" s="156"/>
      <c r="Q682" s="152"/>
      <c r="R682" s="152"/>
      <c r="S682" s="152"/>
      <c r="T682" s="152"/>
      <c r="U682" s="152"/>
      <c r="V682" s="152"/>
      <c r="W682" s="152"/>
      <c r="X682" s="152"/>
      <c r="Y682" s="149"/>
    </row>
    <row r="683" spans="3:25" s="151" customFormat="1" ht="12.75">
      <c r="C683" s="152"/>
      <c r="D683" s="152"/>
      <c r="E683" s="149"/>
      <c r="F683" s="152"/>
      <c r="G683" s="152"/>
      <c r="H683" s="152"/>
      <c r="I683" s="152"/>
      <c r="J683" s="156"/>
      <c r="K683" s="156"/>
      <c r="L683" s="156"/>
      <c r="M683" s="156"/>
      <c r="N683" s="156"/>
      <c r="O683" s="156"/>
      <c r="P683" s="156"/>
      <c r="Q683" s="152"/>
      <c r="R683" s="152"/>
      <c r="S683" s="152"/>
      <c r="T683" s="152"/>
      <c r="U683" s="152"/>
      <c r="V683" s="152"/>
      <c r="W683" s="152"/>
      <c r="X683" s="152"/>
      <c r="Y683" s="149"/>
    </row>
    <row r="684" spans="3:25" s="151" customFormat="1" ht="12.75">
      <c r="C684" s="152"/>
      <c r="D684" s="152"/>
      <c r="E684" s="149"/>
      <c r="F684" s="152"/>
      <c r="G684" s="152"/>
      <c r="H684" s="152"/>
      <c r="I684" s="152"/>
      <c r="J684" s="156"/>
      <c r="K684" s="156"/>
      <c r="L684" s="156"/>
      <c r="M684" s="156"/>
      <c r="N684" s="156"/>
      <c r="O684" s="156"/>
      <c r="P684" s="156"/>
      <c r="Q684" s="152"/>
      <c r="R684" s="152"/>
      <c r="S684" s="152"/>
      <c r="T684" s="152"/>
      <c r="U684" s="152"/>
      <c r="V684" s="152"/>
      <c r="W684" s="152"/>
      <c r="X684" s="152"/>
      <c r="Y684" s="149"/>
    </row>
    <row r="685" spans="3:25" s="151" customFormat="1" ht="12.75">
      <c r="C685" s="152"/>
      <c r="D685" s="152"/>
      <c r="E685" s="149"/>
      <c r="F685" s="152"/>
      <c r="G685" s="152"/>
      <c r="H685" s="152"/>
      <c r="I685" s="152"/>
      <c r="J685" s="156"/>
      <c r="K685" s="156"/>
      <c r="L685" s="156"/>
      <c r="M685" s="156"/>
      <c r="N685" s="156"/>
      <c r="O685" s="156"/>
      <c r="P685" s="156"/>
      <c r="Q685" s="152"/>
      <c r="R685" s="152"/>
      <c r="S685" s="152"/>
      <c r="T685" s="152"/>
      <c r="U685" s="152"/>
      <c r="V685" s="152"/>
      <c r="W685" s="152"/>
      <c r="X685" s="152"/>
      <c r="Y685" s="149"/>
    </row>
    <row r="686" spans="3:25" s="151" customFormat="1" ht="12.75">
      <c r="C686" s="152"/>
      <c r="D686" s="152"/>
      <c r="E686" s="149"/>
      <c r="F686" s="152"/>
      <c r="G686" s="152"/>
      <c r="H686" s="152"/>
      <c r="I686" s="152"/>
      <c r="J686" s="156"/>
      <c r="K686" s="156"/>
      <c r="L686" s="156"/>
      <c r="M686" s="156"/>
      <c r="N686" s="156"/>
      <c r="O686" s="156"/>
      <c r="P686" s="156"/>
      <c r="Q686" s="152"/>
      <c r="R686" s="152"/>
      <c r="S686" s="152"/>
      <c r="T686" s="152"/>
      <c r="U686" s="152"/>
      <c r="V686" s="152"/>
      <c r="W686" s="152"/>
      <c r="X686" s="152"/>
      <c r="Y686" s="149"/>
    </row>
    <row r="687" spans="3:25" s="151" customFormat="1" ht="12.75">
      <c r="C687" s="152"/>
      <c r="D687" s="152"/>
      <c r="E687" s="149"/>
      <c r="F687" s="152"/>
      <c r="G687" s="152"/>
      <c r="H687" s="152"/>
      <c r="I687" s="152"/>
      <c r="J687" s="156"/>
      <c r="K687" s="156"/>
      <c r="L687" s="156"/>
      <c r="M687" s="156"/>
      <c r="N687" s="156"/>
      <c r="O687" s="156"/>
      <c r="P687" s="156"/>
      <c r="Q687" s="152"/>
      <c r="R687" s="152"/>
      <c r="S687" s="152"/>
      <c r="T687" s="152"/>
      <c r="U687" s="152"/>
      <c r="V687" s="152"/>
      <c r="W687" s="152"/>
      <c r="X687" s="152"/>
      <c r="Y687" s="149"/>
    </row>
    <row r="688" spans="3:25" s="151" customFormat="1" ht="12.75">
      <c r="C688" s="152"/>
      <c r="D688" s="152"/>
      <c r="E688" s="149"/>
      <c r="F688" s="152"/>
      <c r="G688" s="152"/>
      <c r="H688" s="152"/>
      <c r="I688" s="152"/>
      <c r="J688" s="156"/>
      <c r="K688" s="156"/>
      <c r="L688" s="156"/>
      <c r="M688" s="156"/>
      <c r="N688" s="156"/>
      <c r="O688" s="156"/>
      <c r="P688" s="156"/>
      <c r="Q688" s="152"/>
      <c r="R688" s="152"/>
      <c r="S688" s="152"/>
      <c r="T688" s="152"/>
      <c r="U688" s="152"/>
      <c r="V688" s="152"/>
      <c r="W688" s="152"/>
      <c r="X688" s="152"/>
      <c r="Y688" s="149"/>
    </row>
    <row r="689" spans="3:25" s="151" customFormat="1" ht="12.75">
      <c r="C689" s="152"/>
      <c r="D689" s="152"/>
      <c r="E689" s="149"/>
      <c r="F689" s="152"/>
      <c r="G689" s="152"/>
      <c r="H689" s="152"/>
      <c r="I689" s="152"/>
      <c r="J689" s="156"/>
      <c r="K689" s="156"/>
      <c r="L689" s="156"/>
      <c r="M689" s="156"/>
      <c r="N689" s="156"/>
      <c r="O689" s="156"/>
      <c r="P689" s="156"/>
      <c r="Q689" s="152"/>
      <c r="R689" s="152"/>
      <c r="S689" s="152"/>
      <c r="T689" s="152"/>
      <c r="U689" s="152"/>
      <c r="V689" s="152"/>
      <c r="W689" s="152"/>
      <c r="X689" s="152"/>
      <c r="Y689" s="149"/>
    </row>
    <row r="690" spans="3:25" s="151" customFormat="1" ht="12.75">
      <c r="C690" s="152"/>
      <c r="D690" s="152"/>
      <c r="E690" s="149"/>
      <c r="F690" s="152"/>
      <c r="G690" s="152"/>
      <c r="H690" s="152"/>
      <c r="I690" s="152"/>
      <c r="J690" s="156"/>
      <c r="K690" s="156"/>
      <c r="L690" s="156"/>
      <c r="M690" s="156"/>
      <c r="N690" s="156"/>
      <c r="O690" s="156"/>
      <c r="P690" s="156"/>
      <c r="Q690" s="152"/>
      <c r="R690" s="152"/>
      <c r="S690" s="152"/>
      <c r="T690" s="152"/>
      <c r="U690" s="152"/>
      <c r="V690" s="152"/>
      <c r="W690" s="152"/>
      <c r="X690" s="152"/>
      <c r="Y690" s="149"/>
    </row>
    <row r="691" spans="3:25" s="151" customFormat="1" ht="12.75">
      <c r="C691" s="152"/>
      <c r="D691" s="152"/>
      <c r="E691" s="149"/>
      <c r="F691" s="152"/>
      <c r="G691" s="152"/>
      <c r="H691" s="152"/>
      <c r="I691" s="152"/>
      <c r="J691" s="156"/>
      <c r="K691" s="156"/>
      <c r="L691" s="156"/>
      <c r="M691" s="156"/>
      <c r="N691" s="156"/>
      <c r="O691" s="156"/>
      <c r="P691" s="156"/>
      <c r="Q691" s="152"/>
      <c r="R691" s="152"/>
      <c r="S691" s="152"/>
      <c r="T691" s="152"/>
      <c r="U691" s="152"/>
      <c r="V691" s="152"/>
      <c r="W691" s="152"/>
      <c r="X691" s="152"/>
      <c r="Y691" s="149"/>
    </row>
    <row r="692" spans="3:25" s="151" customFormat="1" ht="12.75">
      <c r="C692" s="152"/>
      <c r="D692" s="152"/>
      <c r="E692" s="149"/>
      <c r="F692" s="152"/>
      <c r="G692" s="152"/>
      <c r="H692" s="152"/>
      <c r="I692" s="152"/>
      <c r="J692" s="156"/>
      <c r="K692" s="156"/>
      <c r="L692" s="156"/>
      <c r="M692" s="156"/>
      <c r="N692" s="156"/>
      <c r="O692" s="156"/>
      <c r="P692" s="156"/>
      <c r="Q692" s="152"/>
      <c r="R692" s="152"/>
      <c r="S692" s="152"/>
      <c r="T692" s="152"/>
      <c r="U692" s="152"/>
      <c r="V692" s="152"/>
      <c r="W692" s="152"/>
      <c r="X692" s="152"/>
      <c r="Y692" s="149"/>
    </row>
    <row r="693" spans="3:25" s="151" customFormat="1" ht="12.75">
      <c r="C693" s="152"/>
      <c r="D693" s="152"/>
      <c r="E693" s="149"/>
      <c r="F693" s="152"/>
      <c r="G693" s="152"/>
      <c r="H693" s="152"/>
      <c r="I693" s="152"/>
      <c r="J693" s="156"/>
      <c r="K693" s="156"/>
      <c r="L693" s="156"/>
      <c r="M693" s="156"/>
      <c r="N693" s="156"/>
      <c r="O693" s="156"/>
      <c r="P693" s="156"/>
      <c r="Q693" s="152"/>
      <c r="R693" s="152"/>
      <c r="S693" s="152"/>
      <c r="T693" s="152"/>
      <c r="U693" s="152"/>
      <c r="V693" s="152"/>
      <c r="W693" s="152"/>
      <c r="X693" s="152"/>
      <c r="Y693" s="149"/>
    </row>
    <row r="694" spans="3:25" s="151" customFormat="1" ht="12.75">
      <c r="C694" s="152"/>
      <c r="D694" s="152"/>
      <c r="E694" s="149"/>
      <c r="F694" s="152"/>
      <c r="G694" s="152"/>
      <c r="H694" s="152"/>
      <c r="I694" s="152"/>
      <c r="J694" s="156"/>
      <c r="K694" s="156"/>
      <c r="L694" s="156"/>
      <c r="M694" s="156"/>
      <c r="N694" s="156"/>
      <c r="O694" s="156"/>
      <c r="P694" s="156"/>
      <c r="Q694" s="152"/>
      <c r="R694" s="152"/>
      <c r="S694" s="152"/>
      <c r="T694" s="152"/>
      <c r="U694" s="152"/>
      <c r="V694" s="152"/>
      <c r="W694" s="152"/>
      <c r="X694" s="152"/>
      <c r="Y694" s="149"/>
    </row>
    <row r="695" spans="3:25" s="151" customFormat="1" ht="12.75">
      <c r="C695" s="152"/>
      <c r="D695" s="152"/>
      <c r="E695" s="149"/>
      <c r="F695" s="152"/>
      <c r="G695" s="152"/>
      <c r="H695" s="152"/>
      <c r="I695" s="152"/>
      <c r="J695" s="156"/>
      <c r="K695" s="156"/>
      <c r="L695" s="156"/>
      <c r="M695" s="156"/>
      <c r="N695" s="156"/>
      <c r="O695" s="156"/>
      <c r="P695" s="156"/>
      <c r="Q695" s="152"/>
      <c r="R695" s="152"/>
      <c r="S695" s="152"/>
      <c r="T695" s="152"/>
      <c r="U695" s="152"/>
      <c r="V695" s="152"/>
      <c r="W695" s="152"/>
      <c r="X695" s="152"/>
      <c r="Y695" s="149"/>
    </row>
    <row r="696" spans="3:25" s="151" customFormat="1" ht="12.75">
      <c r="C696" s="152"/>
      <c r="D696" s="152"/>
      <c r="E696" s="149"/>
      <c r="F696" s="152"/>
      <c r="G696" s="152"/>
      <c r="H696" s="152"/>
      <c r="I696" s="152"/>
      <c r="J696" s="156"/>
      <c r="K696" s="156"/>
      <c r="L696" s="156"/>
      <c r="M696" s="156"/>
      <c r="N696" s="156"/>
      <c r="O696" s="156"/>
      <c r="P696" s="156"/>
      <c r="Q696" s="152"/>
      <c r="R696" s="152"/>
      <c r="S696" s="152"/>
      <c r="T696" s="152"/>
      <c r="U696" s="152"/>
      <c r="V696" s="152"/>
      <c r="W696" s="152"/>
      <c r="X696" s="152"/>
      <c r="Y696" s="149"/>
    </row>
    <row r="697" spans="3:25" s="151" customFormat="1" ht="12.75">
      <c r="C697" s="152"/>
      <c r="D697" s="152"/>
      <c r="E697" s="149"/>
      <c r="F697" s="152"/>
      <c r="G697" s="152"/>
      <c r="H697" s="152"/>
      <c r="I697" s="152"/>
      <c r="J697" s="156"/>
      <c r="K697" s="156"/>
      <c r="L697" s="156"/>
      <c r="M697" s="156"/>
      <c r="N697" s="156"/>
      <c r="O697" s="156"/>
      <c r="P697" s="156"/>
      <c r="Q697" s="152"/>
      <c r="R697" s="152"/>
      <c r="S697" s="152"/>
      <c r="T697" s="152"/>
      <c r="U697" s="152"/>
      <c r="V697" s="152"/>
      <c r="W697" s="152"/>
      <c r="X697" s="152"/>
      <c r="Y697" s="149"/>
    </row>
    <row r="698" spans="3:25" s="151" customFormat="1" ht="12.75">
      <c r="C698" s="152"/>
      <c r="D698" s="152"/>
      <c r="E698" s="149"/>
      <c r="F698" s="152"/>
      <c r="G698" s="152"/>
      <c r="H698" s="152"/>
      <c r="I698" s="152"/>
      <c r="J698" s="156"/>
      <c r="K698" s="156"/>
      <c r="L698" s="156"/>
      <c r="M698" s="156"/>
      <c r="N698" s="156"/>
      <c r="O698" s="156"/>
      <c r="P698" s="156"/>
      <c r="Q698" s="152"/>
      <c r="R698" s="152"/>
      <c r="S698" s="152"/>
      <c r="T698" s="152"/>
      <c r="U698" s="152"/>
      <c r="V698" s="152"/>
      <c r="W698" s="152"/>
      <c r="X698" s="152"/>
      <c r="Y698" s="149"/>
    </row>
    <row r="699" spans="3:25" s="151" customFormat="1" ht="12.75">
      <c r="C699" s="152"/>
      <c r="D699" s="152"/>
      <c r="E699" s="149"/>
      <c r="F699" s="152"/>
      <c r="G699" s="152"/>
      <c r="H699" s="152"/>
      <c r="I699" s="152"/>
      <c r="J699" s="156"/>
      <c r="K699" s="156"/>
      <c r="L699" s="156"/>
      <c r="M699" s="156"/>
      <c r="N699" s="156"/>
      <c r="O699" s="156"/>
      <c r="P699" s="156"/>
      <c r="Q699" s="152"/>
      <c r="R699" s="152"/>
      <c r="S699" s="152"/>
      <c r="T699" s="152"/>
      <c r="U699" s="152"/>
      <c r="V699" s="152"/>
      <c r="W699" s="152"/>
      <c r="X699" s="152"/>
      <c r="Y699" s="149"/>
    </row>
    <row r="700" spans="3:25" s="151" customFormat="1" ht="12.75">
      <c r="C700" s="152"/>
      <c r="D700" s="152"/>
      <c r="E700" s="149"/>
      <c r="F700" s="152"/>
      <c r="G700" s="152"/>
      <c r="H700" s="152"/>
      <c r="I700" s="152"/>
      <c r="J700" s="156"/>
      <c r="K700" s="156"/>
      <c r="L700" s="156"/>
      <c r="M700" s="156"/>
      <c r="N700" s="156"/>
      <c r="O700" s="156"/>
      <c r="P700" s="156"/>
      <c r="Q700" s="152"/>
      <c r="R700" s="152"/>
      <c r="S700" s="152"/>
      <c r="T700" s="152"/>
      <c r="U700" s="152"/>
      <c r="V700" s="152"/>
      <c r="W700" s="152"/>
      <c r="X700" s="152"/>
      <c r="Y700" s="149"/>
    </row>
    <row r="701" spans="3:25" s="151" customFormat="1" ht="12.75">
      <c r="C701" s="152"/>
      <c r="D701" s="152"/>
      <c r="E701" s="149"/>
      <c r="F701" s="152"/>
      <c r="G701" s="152"/>
      <c r="H701" s="152"/>
      <c r="I701" s="152"/>
      <c r="J701" s="156"/>
      <c r="K701" s="156"/>
      <c r="L701" s="156"/>
      <c r="M701" s="156"/>
      <c r="N701" s="156"/>
      <c r="O701" s="156"/>
      <c r="P701" s="156"/>
      <c r="Q701" s="152"/>
      <c r="R701" s="152"/>
      <c r="S701" s="152"/>
      <c r="T701" s="152"/>
      <c r="U701" s="152"/>
      <c r="V701" s="152"/>
      <c r="W701" s="152"/>
      <c r="X701" s="152"/>
      <c r="Y701" s="149"/>
    </row>
    <row r="702" spans="3:25" s="151" customFormat="1" ht="12.75">
      <c r="C702" s="152"/>
      <c r="D702" s="152"/>
      <c r="E702" s="149"/>
      <c r="F702" s="152"/>
      <c r="G702" s="152"/>
      <c r="H702" s="152"/>
      <c r="I702" s="152"/>
      <c r="J702" s="156"/>
      <c r="K702" s="156"/>
      <c r="L702" s="156"/>
      <c r="M702" s="156"/>
      <c r="N702" s="156"/>
      <c r="O702" s="156"/>
      <c r="P702" s="156"/>
      <c r="Q702" s="152"/>
      <c r="R702" s="152"/>
      <c r="S702" s="152"/>
      <c r="T702" s="152"/>
      <c r="U702" s="152"/>
      <c r="V702" s="152"/>
      <c r="W702" s="152"/>
      <c r="X702" s="152"/>
      <c r="Y702" s="149"/>
    </row>
    <row r="703" spans="3:25" s="151" customFormat="1" ht="12.75">
      <c r="C703" s="152"/>
      <c r="D703" s="152"/>
      <c r="E703" s="149"/>
      <c r="F703" s="152"/>
      <c r="G703" s="152"/>
      <c r="H703" s="152"/>
      <c r="I703" s="152"/>
      <c r="J703" s="156"/>
      <c r="K703" s="156"/>
      <c r="L703" s="156"/>
      <c r="M703" s="156"/>
      <c r="N703" s="156"/>
      <c r="O703" s="156"/>
      <c r="P703" s="156"/>
      <c r="Q703" s="152"/>
      <c r="R703" s="152"/>
      <c r="S703" s="152"/>
      <c r="T703" s="152"/>
      <c r="U703" s="152"/>
      <c r="V703" s="152"/>
      <c r="W703" s="152"/>
      <c r="X703" s="152"/>
      <c r="Y703" s="149"/>
    </row>
    <row r="704" spans="3:25" s="151" customFormat="1" ht="12.75">
      <c r="C704" s="152"/>
      <c r="D704" s="152"/>
      <c r="E704" s="149"/>
      <c r="F704" s="152"/>
      <c r="G704" s="152"/>
      <c r="H704" s="152"/>
      <c r="I704" s="152"/>
      <c r="J704" s="156"/>
      <c r="K704" s="156"/>
      <c r="L704" s="156"/>
      <c r="M704" s="156"/>
      <c r="N704" s="156"/>
      <c r="O704" s="156"/>
      <c r="P704" s="156"/>
      <c r="Q704" s="152"/>
      <c r="R704" s="152"/>
      <c r="S704" s="152"/>
      <c r="T704" s="152"/>
      <c r="U704" s="152"/>
      <c r="V704" s="152"/>
      <c r="W704" s="152"/>
      <c r="X704" s="152"/>
      <c r="Y704" s="149"/>
    </row>
    <row r="705" spans="3:25" s="151" customFormat="1" ht="12.75">
      <c r="C705" s="152"/>
      <c r="D705" s="152"/>
      <c r="E705" s="149"/>
      <c r="F705" s="152"/>
      <c r="G705" s="152"/>
      <c r="H705" s="152"/>
      <c r="I705" s="152"/>
      <c r="J705" s="156"/>
      <c r="K705" s="156"/>
      <c r="L705" s="156"/>
      <c r="M705" s="156"/>
      <c r="N705" s="156"/>
      <c r="O705" s="156"/>
      <c r="P705" s="156"/>
      <c r="Q705" s="152"/>
      <c r="R705" s="152"/>
      <c r="S705" s="152"/>
      <c r="T705" s="152"/>
      <c r="U705" s="152"/>
      <c r="V705" s="152"/>
      <c r="W705" s="152"/>
      <c r="X705" s="152"/>
      <c r="Y705" s="149"/>
    </row>
    <row r="706" spans="3:25" s="151" customFormat="1" ht="12.75">
      <c r="C706" s="152"/>
      <c r="D706" s="152"/>
      <c r="E706" s="149"/>
      <c r="F706" s="152"/>
      <c r="G706" s="152"/>
      <c r="H706" s="152"/>
      <c r="I706" s="152"/>
      <c r="J706" s="156"/>
      <c r="K706" s="156"/>
      <c r="L706" s="156"/>
      <c r="M706" s="156"/>
      <c r="N706" s="156"/>
      <c r="O706" s="156"/>
      <c r="P706" s="156"/>
      <c r="Q706" s="152"/>
      <c r="R706" s="152"/>
      <c r="S706" s="152"/>
      <c r="T706" s="152"/>
      <c r="U706" s="152"/>
      <c r="V706" s="152"/>
      <c r="W706" s="152"/>
      <c r="X706" s="152"/>
      <c r="Y706" s="149"/>
    </row>
    <row r="707" spans="3:25" s="151" customFormat="1" ht="12.75">
      <c r="C707" s="152"/>
      <c r="D707" s="152"/>
      <c r="E707" s="149"/>
      <c r="F707" s="152"/>
      <c r="G707" s="152"/>
      <c r="H707" s="152"/>
      <c r="I707" s="152"/>
      <c r="J707" s="156"/>
      <c r="K707" s="156"/>
      <c r="L707" s="156"/>
      <c r="M707" s="156"/>
      <c r="N707" s="156"/>
      <c r="O707" s="156"/>
      <c r="P707" s="156"/>
      <c r="Q707" s="152"/>
      <c r="R707" s="152"/>
      <c r="S707" s="152"/>
      <c r="T707" s="152"/>
      <c r="U707" s="152"/>
      <c r="V707" s="152"/>
      <c r="W707" s="152"/>
      <c r="X707" s="152"/>
      <c r="Y707" s="149"/>
    </row>
    <row r="708" spans="3:25" s="151" customFormat="1" ht="12.75">
      <c r="C708" s="152"/>
      <c r="D708" s="152"/>
      <c r="E708" s="149"/>
      <c r="F708" s="152"/>
      <c r="G708" s="152"/>
      <c r="H708" s="152"/>
      <c r="I708" s="152"/>
      <c r="J708" s="156"/>
      <c r="K708" s="156"/>
      <c r="L708" s="156"/>
      <c r="M708" s="156"/>
      <c r="N708" s="156"/>
      <c r="O708" s="156"/>
      <c r="P708" s="156"/>
      <c r="Q708" s="152"/>
      <c r="R708" s="152"/>
      <c r="S708" s="152"/>
      <c r="T708" s="152"/>
      <c r="U708" s="152"/>
      <c r="V708" s="152"/>
      <c r="W708" s="152"/>
      <c r="X708" s="152"/>
      <c r="Y708" s="149"/>
    </row>
    <row r="709" spans="3:25" s="151" customFormat="1" ht="12.75">
      <c r="C709" s="152"/>
      <c r="D709" s="152"/>
      <c r="E709" s="149"/>
      <c r="F709" s="152"/>
      <c r="G709" s="152"/>
      <c r="H709" s="152"/>
      <c r="I709" s="152"/>
      <c r="J709" s="156"/>
      <c r="K709" s="156"/>
      <c r="L709" s="156"/>
      <c r="M709" s="156"/>
      <c r="N709" s="156"/>
      <c r="O709" s="156"/>
      <c r="P709" s="156"/>
      <c r="Q709" s="152"/>
      <c r="R709" s="152"/>
      <c r="S709" s="152"/>
      <c r="T709" s="152"/>
      <c r="U709" s="152"/>
      <c r="V709" s="152"/>
      <c r="W709" s="152"/>
      <c r="X709" s="152"/>
      <c r="Y709" s="149"/>
    </row>
    <row r="710" spans="3:25" s="151" customFormat="1" ht="12.75">
      <c r="C710" s="152"/>
      <c r="D710" s="152"/>
      <c r="E710" s="149"/>
      <c r="F710" s="152"/>
      <c r="G710" s="152"/>
      <c r="H710" s="152"/>
      <c r="I710" s="152"/>
      <c r="J710" s="156"/>
      <c r="K710" s="156"/>
      <c r="L710" s="156"/>
      <c r="M710" s="156"/>
      <c r="N710" s="156"/>
      <c r="O710" s="156"/>
      <c r="P710" s="156"/>
      <c r="Q710" s="152"/>
      <c r="R710" s="152"/>
      <c r="S710" s="152"/>
      <c r="T710" s="152"/>
      <c r="U710" s="152"/>
      <c r="V710" s="152"/>
      <c r="W710" s="152"/>
      <c r="X710" s="152"/>
      <c r="Y710" s="149"/>
    </row>
    <row r="711" spans="3:25" s="151" customFormat="1" ht="12.75">
      <c r="C711" s="152"/>
      <c r="D711" s="152"/>
      <c r="E711" s="149"/>
      <c r="F711" s="152"/>
      <c r="G711" s="152"/>
      <c r="H711" s="152"/>
      <c r="I711" s="152"/>
      <c r="J711" s="156"/>
      <c r="K711" s="156"/>
      <c r="L711" s="156"/>
      <c r="M711" s="156"/>
      <c r="N711" s="156"/>
      <c r="O711" s="156"/>
      <c r="P711" s="156"/>
      <c r="Q711" s="152"/>
      <c r="R711" s="152"/>
      <c r="S711" s="152"/>
      <c r="T711" s="152"/>
      <c r="U711" s="152"/>
      <c r="V711" s="152"/>
      <c r="W711" s="152"/>
      <c r="X711" s="152"/>
      <c r="Y711" s="149"/>
    </row>
    <row r="712" spans="3:25" s="151" customFormat="1" ht="12.75">
      <c r="C712" s="152"/>
      <c r="D712" s="152"/>
      <c r="E712" s="149"/>
      <c r="F712" s="152"/>
      <c r="G712" s="152"/>
      <c r="H712" s="152"/>
      <c r="I712" s="152"/>
      <c r="J712" s="156"/>
      <c r="K712" s="156"/>
      <c r="L712" s="156"/>
      <c r="M712" s="156"/>
      <c r="N712" s="156"/>
      <c r="O712" s="156"/>
      <c r="P712" s="156"/>
      <c r="Q712" s="152"/>
      <c r="R712" s="152"/>
      <c r="S712" s="152"/>
      <c r="T712" s="152"/>
      <c r="U712" s="152"/>
      <c r="V712" s="152"/>
      <c r="W712" s="152"/>
      <c r="X712" s="152"/>
      <c r="Y712" s="149"/>
    </row>
    <row r="713" spans="3:25" s="151" customFormat="1" ht="12.75">
      <c r="C713" s="152"/>
      <c r="D713" s="152"/>
      <c r="E713" s="149"/>
      <c r="F713" s="152"/>
      <c r="G713" s="152"/>
      <c r="H713" s="152"/>
      <c r="I713" s="152"/>
      <c r="J713" s="156"/>
      <c r="K713" s="156"/>
      <c r="L713" s="156"/>
      <c r="M713" s="156"/>
      <c r="N713" s="156"/>
      <c r="O713" s="156"/>
      <c r="P713" s="156"/>
      <c r="Q713" s="152"/>
      <c r="R713" s="152"/>
      <c r="S713" s="152"/>
      <c r="T713" s="152"/>
      <c r="U713" s="152"/>
      <c r="V713" s="152"/>
      <c r="W713" s="152"/>
      <c r="X713" s="152"/>
      <c r="Y713" s="149"/>
    </row>
    <row r="714" spans="3:25" s="151" customFormat="1" ht="12.75">
      <c r="C714" s="152"/>
      <c r="D714" s="152"/>
      <c r="E714" s="149"/>
      <c r="F714" s="152"/>
      <c r="G714" s="152"/>
      <c r="H714" s="152"/>
      <c r="I714" s="152"/>
      <c r="J714" s="156"/>
      <c r="K714" s="156"/>
      <c r="L714" s="156"/>
      <c r="M714" s="156"/>
      <c r="N714" s="156"/>
      <c r="O714" s="156"/>
      <c r="P714" s="156"/>
      <c r="Q714" s="152"/>
      <c r="R714" s="152"/>
      <c r="S714" s="152"/>
      <c r="T714" s="152"/>
      <c r="U714" s="152"/>
      <c r="V714" s="152"/>
      <c r="W714" s="152"/>
      <c r="X714" s="152"/>
      <c r="Y714" s="149"/>
    </row>
    <row r="715" spans="3:25" s="151" customFormat="1" ht="12.75">
      <c r="C715" s="152"/>
      <c r="D715" s="152"/>
      <c r="E715" s="149"/>
      <c r="F715" s="152"/>
      <c r="G715" s="152"/>
      <c r="H715" s="152"/>
      <c r="I715" s="152"/>
      <c r="J715" s="156"/>
      <c r="K715" s="156"/>
      <c r="L715" s="156"/>
      <c r="M715" s="156"/>
      <c r="N715" s="156"/>
      <c r="O715" s="156"/>
      <c r="P715" s="156"/>
      <c r="Q715" s="152"/>
      <c r="R715" s="152"/>
      <c r="S715" s="152"/>
      <c r="T715" s="152"/>
      <c r="U715" s="152"/>
      <c r="V715" s="152"/>
      <c r="W715" s="152"/>
      <c r="X715" s="152"/>
      <c r="Y715" s="149"/>
    </row>
    <row r="716" spans="3:25" s="151" customFormat="1" ht="12.75">
      <c r="C716" s="152"/>
      <c r="D716" s="152"/>
      <c r="E716" s="149"/>
      <c r="F716" s="152"/>
      <c r="G716" s="152"/>
      <c r="H716" s="152"/>
      <c r="I716" s="152"/>
      <c r="J716" s="156"/>
      <c r="K716" s="156"/>
      <c r="L716" s="156"/>
      <c r="M716" s="156"/>
      <c r="N716" s="156"/>
      <c r="O716" s="156"/>
      <c r="P716" s="156"/>
      <c r="Q716" s="152"/>
      <c r="R716" s="152"/>
      <c r="S716" s="152"/>
      <c r="T716" s="152"/>
      <c r="U716" s="152"/>
      <c r="V716" s="152"/>
      <c r="W716" s="152"/>
      <c r="X716" s="152"/>
      <c r="Y716" s="149"/>
    </row>
    <row r="717" spans="3:25" s="151" customFormat="1" ht="12.75">
      <c r="C717" s="152"/>
      <c r="D717" s="152"/>
      <c r="E717" s="149"/>
      <c r="F717" s="152"/>
      <c r="G717" s="152"/>
      <c r="H717" s="152"/>
      <c r="I717" s="152"/>
      <c r="J717" s="156"/>
      <c r="K717" s="156"/>
      <c r="L717" s="156"/>
      <c r="M717" s="156"/>
      <c r="N717" s="156"/>
      <c r="O717" s="156"/>
      <c r="P717" s="156"/>
      <c r="Q717" s="152"/>
      <c r="R717" s="152"/>
      <c r="S717" s="152"/>
      <c r="T717" s="152"/>
      <c r="U717" s="152"/>
      <c r="V717" s="152"/>
      <c r="W717" s="152"/>
      <c r="X717" s="152"/>
      <c r="Y717" s="149"/>
    </row>
    <row r="718" spans="3:25" s="151" customFormat="1" ht="12.75">
      <c r="C718" s="152"/>
      <c r="D718" s="152"/>
      <c r="E718" s="149"/>
      <c r="F718" s="152"/>
      <c r="G718" s="152"/>
      <c r="H718" s="152"/>
      <c r="I718" s="152"/>
      <c r="J718" s="156"/>
      <c r="K718" s="156"/>
      <c r="L718" s="156"/>
      <c r="M718" s="156"/>
      <c r="N718" s="156"/>
      <c r="O718" s="156"/>
      <c r="P718" s="156"/>
      <c r="Q718" s="152"/>
      <c r="R718" s="152"/>
      <c r="S718" s="152"/>
      <c r="T718" s="152"/>
      <c r="U718" s="152"/>
      <c r="V718" s="152"/>
      <c r="W718" s="152"/>
      <c r="X718" s="152"/>
      <c r="Y718" s="149"/>
    </row>
    <row r="719" spans="3:25" s="151" customFormat="1" ht="12.75">
      <c r="C719" s="152"/>
      <c r="D719" s="152"/>
      <c r="E719" s="149"/>
      <c r="F719" s="152"/>
      <c r="G719" s="152"/>
      <c r="H719" s="152"/>
      <c r="I719" s="152"/>
      <c r="J719" s="156"/>
      <c r="K719" s="156"/>
      <c r="L719" s="156"/>
      <c r="M719" s="156"/>
      <c r="N719" s="156"/>
      <c r="O719" s="156"/>
      <c r="P719" s="156"/>
      <c r="Q719" s="152"/>
      <c r="R719" s="152"/>
      <c r="S719" s="152"/>
      <c r="T719" s="152"/>
      <c r="U719" s="152"/>
      <c r="V719" s="152"/>
      <c r="W719" s="152"/>
      <c r="X719" s="152"/>
      <c r="Y719" s="149"/>
    </row>
    <row r="720" spans="3:25" s="151" customFormat="1" ht="12.75">
      <c r="C720" s="152"/>
      <c r="D720" s="152"/>
      <c r="E720" s="149"/>
      <c r="F720" s="152"/>
      <c r="G720" s="152"/>
      <c r="H720" s="152"/>
      <c r="I720" s="152"/>
      <c r="J720" s="156"/>
      <c r="K720" s="156"/>
      <c r="L720" s="156"/>
      <c r="M720" s="156"/>
      <c r="N720" s="156"/>
      <c r="O720" s="156"/>
      <c r="P720" s="156"/>
      <c r="Q720" s="152"/>
      <c r="R720" s="152"/>
      <c r="S720" s="152"/>
      <c r="T720" s="152"/>
      <c r="U720" s="152"/>
      <c r="V720" s="152"/>
      <c r="W720" s="152"/>
      <c r="X720" s="152"/>
      <c r="Y720" s="149"/>
    </row>
    <row r="721" spans="3:25" s="151" customFormat="1" ht="12.75">
      <c r="C721" s="152"/>
      <c r="D721" s="152"/>
      <c r="E721" s="149"/>
      <c r="F721" s="152"/>
      <c r="G721" s="152"/>
      <c r="H721" s="152"/>
      <c r="I721" s="152"/>
      <c r="J721" s="156"/>
      <c r="K721" s="156"/>
      <c r="L721" s="156"/>
      <c r="M721" s="156"/>
      <c r="N721" s="156"/>
      <c r="O721" s="156"/>
      <c r="P721" s="156"/>
      <c r="Q721" s="152"/>
      <c r="R721" s="152"/>
      <c r="S721" s="152"/>
      <c r="T721" s="152"/>
      <c r="U721" s="152"/>
      <c r="V721" s="152"/>
      <c r="W721" s="152"/>
      <c r="X721" s="152"/>
      <c r="Y721" s="149"/>
    </row>
    <row r="722" spans="3:25" s="151" customFormat="1" ht="12.75">
      <c r="C722" s="152"/>
      <c r="D722" s="152"/>
      <c r="E722" s="149"/>
      <c r="F722" s="152"/>
      <c r="G722" s="152"/>
      <c r="H722" s="152"/>
      <c r="I722" s="152"/>
      <c r="J722" s="156"/>
      <c r="K722" s="156"/>
      <c r="L722" s="156"/>
      <c r="M722" s="156"/>
      <c r="N722" s="156"/>
      <c r="O722" s="156"/>
      <c r="P722" s="156"/>
      <c r="Q722" s="152"/>
      <c r="R722" s="152"/>
      <c r="S722" s="152"/>
      <c r="T722" s="152"/>
      <c r="U722" s="152"/>
      <c r="V722" s="152"/>
      <c r="W722" s="152"/>
      <c r="X722" s="152"/>
      <c r="Y722" s="149"/>
    </row>
    <row r="723" spans="3:25" s="151" customFormat="1" ht="12.75">
      <c r="C723" s="152"/>
      <c r="D723" s="152"/>
      <c r="E723" s="149"/>
      <c r="F723" s="152"/>
      <c r="G723" s="152"/>
      <c r="H723" s="152"/>
      <c r="I723" s="152"/>
      <c r="J723" s="156"/>
      <c r="K723" s="156"/>
      <c r="L723" s="156"/>
      <c r="M723" s="156"/>
      <c r="N723" s="156"/>
      <c r="O723" s="156"/>
      <c r="P723" s="156"/>
      <c r="Q723" s="152"/>
      <c r="R723" s="152"/>
      <c r="S723" s="152"/>
      <c r="T723" s="152"/>
      <c r="U723" s="152"/>
      <c r="V723" s="152"/>
      <c r="W723" s="152"/>
      <c r="X723" s="152"/>
      <c r="Y723" s="149"/>
    </row>
    <row r="724" spans="3:25" s="151" customFormat="1" ht="12.75">
      <c r="C724" s="152"/>
      <c r="D724" s="152"/>
      <c r="E724" s="149"/>
      <c r="F724" s="152"/>
      <c r="G724" s="152"/>
      <c r="H724" s="152"/>
      <c r="I724" s="152"/>
      <c r="J724" s="156"/>
      <c r="K724" s="156"/>
      <c r="L724" s="156"/>
      <c r="M724" s="156"/>
      <c r="N724" s="156"/>
      <c r="O724" s="156"/>
      <c r="P724" s="156"/>
      <c r="Q724" s="152"/>
      <c r="R724" s="152"/>
      <c r="S724" s="152"/>
      <c r="T724" s="152"/>
      <c r="U724" s="152"/>
      <c r="V724" s="152"/>
      <c r="W724" s="152"/>
      <c r="X724" s="152"/>
      <c r="Y724" s="149"/>
    </row>
    <row r="725" spans="3:25" s="151" customFormat="1" ht="12.75">
      <c r="C725" s="152"/>
      <c r="D725" s="152"/>
      <c r="E725" s="149"/>
      <c r="F725" s="152"/>
      <c r="G725" s="152"/>
      <c r="H725" s="152"/>
      <c r="I725" s="152"/>
      <c r="J725" s="156"/>
      <c r="K725" s="156"/>
      <c r="L725" s="156"/>
      <c r="M725" s="156"/>
      <c r="N725" s="156"/>
      <c r="O725" s="156"/>
      <c r="P725" s="156"/>
      <c r="Q725" s="152"/>
      <c r="R725" s="152"/>
      <c r="S725" s="152"/>
      <c r="T725" s="152"/>
      <c r="U725" s="152"/>
      <c r="V725" s="152"/>
      <c r="W725" s="152"/>
      <c r="X725" s="152"/>
      <c r="Y725" s="149"/>
    </row>
    <row r="726" spans="3:25" s="151" customFormat="1" ht="12.75">
      <c r="C726" s="152"/>
      <c r="D726" s="152"/>
      <c r="E726" s="149"/>
      <c r="F726" s="152"/>
      <c r="G726" s="152"/>
      <c r="H726" s="152"/>
      <c r="I726" s="152"/>
      <c r="J726" s="156"/>
      <c r="K726" s="156"/>
      <c r="L726" s="156"/>
      <c r="M726" s="156"/>
      <c r="N726" s="156"/>
      <c r="O726" s="156"/>
      <c r="P726" s="156"/>
      <c r="Q726" s="152"/>
      <c r="R726" s="152"/>
      <c r="S726" s="152"/>
      <c r="T726" s="152"/>
      <c r="U726" s="152"/>
      <c r="V726" s="152"/>
      <c r="W726" s="152"/>
      <c r="X726" s="152"/>
      <c r="Y726" s="149"/>
    </row>
    <row r="727" spans="3:25" s="151" customFormat="1" ht="12.75">
      <c r="C727" s="152"/>
      <c r="D727" s="152"/>
      <c r="E727" s="149"/>
      <c r="F727" s="152"/>
      <c r="G727" s="152"/>
      <c r="H727" s="152"/>
      <c r="I727" s="152"/>
      <c r="J727" s="156"/>
      <c r="K727" s="156"/>
      <c r="L727" s="156"/>
      <c r="M727" s="156"/>
      <c r="N727" s="156"/>
      <c r="O727" s="156"/>
      <c r="P727" s="156"/>
      <c r="Q727" s="152"/>
      <c r="R727" s="152"/>
      <c r="S727" s="152"/>
      <c r="T727" s="152"/>
      <c r="U727" s="152"/>
      <c r="V727" s="152"/>
      <c r="W727" s="152"/>
      <c r="X727" s="152"/>
      <c r="Y727" s="149"/>
    </row>
    <row r="728" spans="3:25" s="151" customFormat="1" ht="12.75">
      <c r="C728" s="152"/>
      <c r="D728" s="152"/>
      <c r="E728" s="149"/>
      <c r="F728" s="152"/>
      <c r="G728" s="152"/>
      <c r="H728" s="152"/>
      <c r="I728" s="152"/>
      <c r="J728" s="156"/>
      <c r="K728" s="156"/>
      <c r="L728" s="156"/>
      <c r="M728" s="156"/>
      <c r="N728" s="156"/>
      <c r="O728" s="156"/>
      <c r="P728" s="156"/>
      <c r="Q728" s="152"/>
      <c r="R728" s="152"/>
      <c r="S728" s="152"/>
      <c r="T728" s="152"/>
      <c r="U728" s="152"/>
      <c r="V728" s="152"/>
      <c r="W728" s="152"/>
      <c r="X728" s="152"/>
      <c r="Y728" s="149"/>
    </row>
    <row r="729" spans="3:25" s="151" customFormat="1" ht="12.75">
      <c r="C729" s="152"/>
      <c r="D729" s="152"/>
      <c r="E729" s="149"/>
      <c r="F729" s="152"/>
      <c r="G729" s="152"/>
      <c r="H729" s="152"/>
      <c r="I729" s="152"/>
      <c r="J729" s="156"/>
      <c r="K729" s="156"/>
      <c r="L729" s="156"/>
      <c r="M729" s="156"/>
      <c r="N729" s="156"/>
      <c r="O729" s="156"/>
      <c r="P729" s="156"/>
      <c r="Q729" s="152"/>
      <c r="R729" s="152"/>
      <c r="S729" s="152"/>
      <c r="T729" s="152"/>
      <c r="U729" s="152"/>
      <c r="V729" s="152"/>
      <c r="W729" s="152"/>
      <c r="X729" s="152"/>
      <c r="Y729" s="149"/>
    </row>
    <row r="730" spans="3:25" s="151" customFormat="1" ht="12.75">
      <c r="C730" s="152"/>
      <c r="D730" s="152"/>
      <c r="E730" s="149"/>
      <c r="F730" s="152"/>
      <c r="G730" s="152"/>
      <c r="H730" s="152"/>
      <c r="I730" s="152"/>
      <c r="J730" s="156"/>
      <c r="K730" s="156"/>
      <c r="L730" s="156"/>
      <c r="M730" s="156"/>
      <c r="N730" s="156"/>
      <c r="O730" s="156"/>
      <c r="P730" s="156"/>
      <c r="Q730" s="152"/>
      <c r="R730" s="152"/>
      <c r="S730" s="152"/>
      <c r="T730" s="152"/>
      <c r="U730" s="152"/>
      <c r="V730" s="152"/>
      <c r="W730" s="152"/>
      <c r="X730" s="152"/>
      <c r="Y730" s="149"/>
    </row>
    <row r="731" spans="3:25" s="151" customFormat="1" ht="12.75">
      <c r="C731" s="152"/>
      <c r="D731" s="152"/>
      <c r="E731" s="149"/>
      <c r="F731" s="152"/>
      <c r="G731" s="152"/>
      <c r="H731" s="152"/>
      <c r="I731" s="152"/>
      <c r="J731" s="156"/>
      <c r="K731" s="156"/>
      <c r="L731" s="156"/>
      <c r="M731" s="156"/>
      <c r="N731" s="156"/>
      <c r="O731" s="156"/>
      <c r="P731" s="156"/>
      <c r="Q731" s="152"/>
      <c r="R731" s="152"/>
      <c r="S731" s="152"/>
      <c r="T731" s="152"/>
      <c r="U731" s="152"/>
      <c r="V731" s="152"/>
      <c r="W731" s="152"/>
      <c r="X731" s="152"/>
      <c r="Y731" s="149"/>
    </row>
    <row r="732" spans="3:25" s="151" customFormat="1" ht="12.75">
      <c r="C732" s="152"/>
      <c r="D732" s="152"/>
      <c r="E732" s="149"/>
      <c r="F732" s="152"/>
      <c r="G732" s="152"/>
      <c r="H732" s="152"/>
      <c r="I732" s="152"/>
      <c r="J732" s="156"/>
      <c r="K732" s="156"/>
      <c r="L732" s="156"/>
      <c r="M732" s="156"/>
      <c r="N732" s="156"/>
      <c r="O732" s="156"/>
      <c r="P732" s="156"/>
      <c r="Q732" s="152"/>
      <c r="R732" s="152"/>
      <c r="S732" s="152"/>
      <c r="T732" s="152"/>
      <c r="U732" s="152"/>
      <c r="V732" s="152"/>
      <c r="W732" s="152"/>
      <c r="X732" s="152"/>
      <c r="Y732" s="149"/>
    </row>
    <row r="733" spans="3:25" s="151" customFormat="1" ht="12.75">
      <c r="C733" s="152"/>
      <c r="D733" s="152"/>
      <c r="E733" s="149"/>
      <c r="F733" s="152"/>
      <c r="G733" s="152"/>
      <c r="H733" s="152"/>
      <c r="I733" s="152"/>
      <c r="J733" s="156"/>
      <c r="K733" s="156"/>
      <c r="L733" s="156"/>
      <c r="M733" s="156"/>
      <c r="N733" s="156"/>
      <c r="O733" s="156"/>
      <c r="P733" s="156"/>
      <c r="Q733" s="152"/>
      <c r="R733" s="152"/>
      <c r="S733" s="152"/>
      <c r="T733" s="152"/>
      <c r="U733" s="152"/>
      <c r="V733" s="152"/>
      <c r="W733" s="152"/>
      <c r="X733" s="152"/>
      <c r="Y733" s="149"/>
    </row>
    <row r="734" spans="3:25" s="151" customFormat="1" ht="12.75">
      <c r="C734" s="152"/>
      <c r="D734" s="152"/>
      <c r="E734" s="149"/>
      <c r="F734" s="152"/>
      <c r="G734" s="152"/>
      <c r="H734" s="152"/>
      <c r="I734" s="152"/>
      <c r="J734" s="156"/>
      <c r="K734" s="156"/>
      <c r="L734" s="156"/>
      <c r="M734" s="156"/>
      <c r="N734" s="156"/>
      <c r="O734" s="156"/>
      <c r="P734" s="156"/>
      <c r="Q734" s="152"/>
      <c r="R734" s="152"/>
      <c r="S734" s="152"/>
      <c r="T734" s="152"/>
      <c r="U734" s="152"/>
      <c r="V734" s="152"/>
      <c r="W734" s="152"/>
      <c r="X734" s="152"/>
      <c r="Y734" s="149"/>
    </row>
    <row r="735" spans="3:25" s="151" customFormat="1" ht="12.75">
      <c r="C735" s="152"/>
      <c r="D735" s="152"/>
      <c r="E735" s="149"/>
      <c r="F735" s="152"/>
      <c r="G735" s="152"/>
      <c r="H735" s="152"/>
      <c r="I735" s="152"/>
      <c r="J735" s="156"/>
      <c r="K735" s="156"/>
      <c r="L735" s="156"/>
      <c r="M735" s="156"/>
      <c r="N735" s="156"/>
      <c r="O735" s="156"/>
      <c r="P735" s="156"/>
      <c r="Q735" s="152"/>
      <c r="R735" s="152"/>
      <c r="S735" s="152"/>
      <c r="T735" s="152"/>
      <c r="U735" s="152"/>
      <c r="V735" s="152"/>
      <c r="W735" s="152"/>
      <c r="X735" s="152"/>
      <c r="Y735" s="149"/>
    </row>
    <row r="736" spans="3:25" s="151" customFormat="1" ht="12.75">
      <c r="C736" s="152"/>
      <c r="D736" s="152"/>
      <c r="E736" s="149"/>
      <c r="F736" s="152"/>
      <c r="G736" s="152"/>
      <c r="H736" s="152"/>
      <c r="I736" s="152"/>
      <c r="J736" s="156"/>
      <c r="K736" s="156"/>
      <c r="L736" s="156"/>
      <c r="M736" s="156"/>
      <c r="N736" s="156"/>
      <c r="O736" s="156"/>
      <c r="P736" s="156"/>
      <c r="Q736" s="152"/>
      <c r="R736" s="152"/>
      <c r="S736" s="152"/>
      <c r="T736" s="152"/>
      <c r="U736" s="152"/>
      <c r="V736" s="152"/>
      <c r="W736" s="152"/>
      <c r="X736" s="152"/>
      <c r="Y736" s="149"/>
    </row>
    <row r="737" spans="3:25" s="151" customFormat="1" ht="12.75">
      <c r="C737" s="152"/>
      <c r="D737" s="152"/>
      <c r="E737" s="149"/>
      <c r="F737" s="152"/>
      <c r="G737" s="152"/>
      <c r="H737" s="152"/>
      <c r="I737" s="152"/>
      <c r="J737" s="156"/>
      <c r="K737" s="156"/>
      <c r="L737" s="156"/>
      <c r="M737" s="156"/>
      <c r="N737" s="156"/>
      <c r="O737" s="156"/>
      <c r="P737" s="156"/>
      <c r="Q737" s="152"/>
      <c r="R737" s="152"/>
      <c r="S737" s="152"/>
      <c r="T737" s="152"/>
      <c r="U737" s="152"/>
      <c r="V737" s="152"/>
      <c r="W737" s="152"/>
      <c r="X737" s="152"/>
      <c r="Y737" s="149"/>
    </row>
    <row r="738" spans="3:25" s="151" customFormat="1" ht="12.75">
      <c r="C738" s="152"/>
      <c r="D738" s="152"/>
      <c r="E738" s="149"/>
      <c r="F738" s="152"/>
      <c r="G738" s="152"/>
      <c r="H738" s="152"/>
      <c r="I738" s="152"/>
      <c r="J738" s="156"/>
      <c r="K738" s="156"/>
      <c r="L738" s="156"/>
      <c r="M738" s="156"/>
      <c r="N738" s="156"/>
      <c r="O738" s="156"/>
      <c r="P738" s="156"/>
      <c r="Q738" s="152"/>
      <c r="R738" s="152"/>
      <c r="S738" s="152"/>
      <c r="T738" s="152"/>
      <c r="U738" s="152"/>
      <c r="V738" s="152"/>
      <c r="W738" s="152"/>
      <c r="X738" s="152"/>
      <c r="Y738" s="149"/>
    </row>
    <row r="739" spans="3:25" s="151" customFormat="1" ht="12.75">
      <c r="C739" s="152"/>
      <c r="D739" s="152"/>
      <c r="E739" s="149"/>
      <c r="F739" s="152"/>
      <c r="G739" s="152"/>
      <c r="H739" s="152"/>
      <c r="I739" s="152"/>
      <c r="J739" s="156"/>
      <c r="K739" s="156"/>
      <c r="L739" s="156"/>
      <c r="M739" s="156"/>
      <c r="N739" s="156"/>
      <c r="O739" s="156"/>
      <c r="P739" s="156"/>
      <c r="Q739" s="152"/>
      <c r="R739" s="152"/>
      <c r="S739" s="152"/>
      <c r="T739" s="152"/>
      <c r="U739" s="152"/>
      <c r="V739" s="152"/>
      <c r="W739" s="152"/>
      <c r="X739" s="152"/>
      <c r="Y739" s="149"/>
    </row>
    <row r="740" spans="3:25" s="151" customFormat="1" ht="12.75">
      <c r="C740" s="152"/>
      <c r="D740" s="152"/>
      <c r="E740" s="149"/>
      <c r="F740" s="152"/>
      <c r="G740" s="152"/>
      <c r="H740" s="152"/>
      <c r="I740" s="152"/>
      <c r="J740" s="156"/>
      <c r="K740" s="156"/>
      <c r="L740" s="156"/>
      <c r="M740" s="156"/>
      <c r="N740" s="156"/>
      <c r="O740" s="156"/>
      <c r="P740" s="156"/>
      <c r="Q740" s="152"/>
      <c r="R740" s="152"/>
      <c r="S740" s="152"/>
      <c r="T740" s="152"/>
      <c r="U740" s="152"/>
      <c r="V740" s="152"/>
      <c r="W740" s="152"/>
      <c r="X740" s="152"/>
      <c r="Y740" s="149"/>
    </row>
    <row r="741" spans="3:25" s="151" customFormat="1" ht="12.75">
      <c r="C741" s="152"/>
      <c r="D741" s="152"/>
      <c r="E741" s="149"/>
      <c r="F741" s="152"/>
      <c r="G741" s="152"/>
      <c r="H741" s="152"/>
      <c r="I741" s="152"/>
      <c r="J741" s="156"/>
      <c r="K741" s="156"/>
      <c r="L741" s="156"/>
      <c r="M741" s="156"/>
      <c r="N741" s="156"/>
      <c r="O741" s="156"/>
      <c r="P741" s="156"/>
      <c r="Q741" s="152"/>
      <c r="R741" s="152"/>
      <c r="S741" s="152"/>
      <c r="T741" s="152"/>
      <c r="U741" s="152"/>
      <c r="V741" s="152"/>
      <c r="W741" s="152"/>
      <c r="X741" s="152"/>
      <c r="Y741" s="149"/>
    </row>
    <row r="742" spans="3:25" s="151" customFormat="1" ht="12.75">
      <c r="C742" s="152"/>
      <c r="D742" s="152"/>
      <c r="E742" s="149"/>
      <c r="F742" s="152"/>
      <c r="G742" s="152"/>
      <c r="H742" s="152"/>
      <c r="I742" s="152"/>
      <c r="J742" s="156"/>
      <c r="K742" s="156"/>
      <c r="L742" s="156"/>
      <c r="M742" s="156"/>
      <c r="N742" s="156"/>
      <c r="O742" s="156"/>
      <c r="P742" s="156"/>
      <c r="Q742" s="152"/>
      <c r="R742" s="152"/>
      <c r="S742" s="152"/>
      <c r="T742" s="152"/>
      <c r="U742" s="152"/>
      <c r="V742" s="152"/>
      <c r="W742" s="152"/>
      <c r="X742" s="152"/>
      <c r="Y742" s="149"/>
    </row>
    <row r="743" spans="3:25" s="151" customFormat="1" ht="12.75">
      <c r="C743" s="152"/>
      <c r="D743" s="152"/>
      <c r="E743" s="149"/>
      <c r="F743" s="152"/>
      <c r="G743" s="152"/>
      <c r="H743" s="152"/>
      <c r="I743" s="152"/>
      <c r="J743" s="156"/>
      <c r="K743" s="156"/>
      <c r="L743" s="156"/>
      <c r="M743" s="156"/>
      <c r="N743" s="156"/>
      <c r="O743" s="156"/>
      <c r="P743" s="156"/>
      <c r="Q743" s="152"/>
      <c r="R743" s="152"/>
      <c r="S743" s="152"/>
      <c r="T743" s="152"/>
      <c r="U743" s="152"/>
      <c r="V743" s="152"/>
      <c r="W743" s="152"/>
      <c r="X743" s="152"/>
      <c r="Y743" s="149"/>
    </row>
    <row r="744" spans="3:25" s="151" customFormat="1" ht="12.75">
      <c r="C744" s="152"/>
      <c r="D744" s="152"/>
      <c r="E744" s="149"/>
      <c r="F744" s="152"/>
      <c r="G744" s="152"/>
      <c r="H744" s="152"/>
      <c r="I744" s="152"/>
      <c r="J744" s="156"/>
      <c r="K744" s="156"/>
      <c r="L744" s="156"/>
      <c r="M744" s="156"/>
      <c r="N744" s="156"/>
      <c r="O744" s="156"/>
      <c r="P744" s="156"/>
      <c r="Q744" s="152"/>
      <c r="R744" s="152"/>
      <c r="S744" s="152"/>
      <c r="T744" s="152"/>
      <c r="U744" s="152"/>
      <c r="V744" s="152"/>
      <c r="W744" s="152"/>
      <c r="X744" s="152"/>
      <c r="Y744" s="149"/>
    </row>
    <row r="745" spans="3:25" s="151" customFormat="1" ht="12.75">
      <c r="C745" s="152"/>
      <c r="D745" s="152"/>
      <c r="E745" s="149"/>
      <c r="F745" s="152"/>
      <c r="G745" s="152"/>
      <c r="H745" s="152"/>
      <c r="I745" s="152"/>
      <c r="J745" s="156"/>
      <c r="K745" s="156"/>
      <c r="L745" s="156"/>
      <c r="M745" s="156"/>
      <c r="N745" s="156"/>
      <c r="O745" s="156"/>
      <c r="P745" s="156"/>
      <c r="Q745" s="152"/>
      <c r="R745" s="152"/>
      <c r="S745" s="152"/>
      <c r="T745" s="152"/>
      <c r="U745" s="152"/>
      <c r="V745" s="152"/>
      <c r="W745" s="152"/>
      <c r="X745" s="152"/>
      <c r="Y745" s="149"/>
    </row>
    <row r="746" spans="3:25" s="151" customFormat="1" ht="12.75">
      <c r="C746" s="152"/>
      <c r="D746" s="152"/>
      <c r="E746" s="149"/>
      <c r="F746" s="152"/>
      <c r="G746" s="152"/>
      <c r="H746" s="152"/>
      <c r="I746" s="152"/>
      <c r="J746" s="156"/>
      <c r="K746" s="156"/>
      <c r="L746" s="156"/>
      <c r="M746" s="156"/>
      <c r="N746" s="156"/>
      <c r="O746" s="156"/>
      <c r="P746" s="156"/>
      <c r="Q746" s="152"/>
      <c r="R746" s="152"/>
      <c r="S746" s="152"/>
      <c r="T746" s="152"/>
      <c r="U746" s="152"/>
      <c r="V746" s="152"/>
      <c r="W746" s="152"/>
      <c r="X746" s="152"/>
      <c r="Y746" s="149"/>
    </row>
    <row r="747" spans="3:25" s="151" customFormat="1" ht="12.75">
      <c r="C747" s="152"/>
      <c r="D747" s="152"/>
      <c r="E747" s="149"/>
      <c r="F747" s="152"/>
      <c r="G747" s="152"/>
      <c r="H747" s="152"/>
      <c r="I747" s="152"/>
      <c r="J747" s="156"/>
      <c r="K747" s="156"/>
      <c r="L747" s="156"/>
      <c r="M747" s="156"/>
      <c r="N747" s="156"/>
      <c r="O747" s="156"/>
      <c r="P747" s="156"/>
      <c r="Q747" s="152"/>
      <c r="R747" s="152"/>
      <c r="S747" s="152"/>
      <c r="T747" s="152"/>
      <c r="U747" s="152"/>
      <c r="V747" s="152"/>
      <c r="W747" s="152"/>
      <c r="X747" s="152"/>
      <c r="Y747" s="149"/>
    </row>
    <row r="748" spans="3:25" s="151" customFormat="1" ht="12.75">
      <c r="C748" s="152"/>
      <c r="D748" s="152"/>
      <c r="E748" s="149"/>
      <c r="F748" s="152"/>
      <c r="G748" s="152"/>
      <c r="H748" s="152"/>
      <c r="I748" s="152"/>
      <c r="J748" s="156"/>
      <c r="K748" s="156"/>
      <c r="L748" s="156"/>
      <c r="M748" s="156"/>
      <c r="N748" s="156"/>
      <c r="O748" s="156"/>
      <c r="P748" s="156"/>
      <c r="Q748" s="152"/>
      <c r="R748" s="152"/>
      <c r="S748" s="152"/>
      <c r="T748" s="152"/>
      <c r="U748" s="152"/>
      <c r="V748" s="152"/>
      <c r="W748" s="152"/>
      <c r="X748" s="152"/>
      <c r="Y748" s="149"/>
    </row>
    <row r="749" spans="3:25" s="151" customFormat="1" ht="12.75">
      <c r="C749" s="152"/>
      <c r="D749" s="152"/>
      <c r="E749" s="149"/>
      <c r="F749" s="152"/>
      <c r="G749" s="152"/>
      <c r="H749" s="152"/>
      <c r="I749" s="152"/>
      <c r="J749" s="156"/>
      <c r="K749" s="156"/>
      <c r="L749" s="156"/>
      <c r="M749" s="156"/>
      <c r="N749" s="156"/>
      <c r="O749" s="156"/>
      <c r="P749" s="156"/>
      <c r="Q749" s="152"/>
      <c r="R749" s="152"/>
      <c r="S749" s="152"/>
      <c r="T749" s="152"/>
      <c r="U749" s="152"/>
      <c r="V749" s="152"/>
      <c r="W749" s="152"/>
      <c r="X749" s="152"/>
      <c r="Y749" s="149"/>
    </row>
    <row r="750" spans="3:25" s="151" customFormat="1" ht="12.75">
      <c r="C750" s="152"/>
      <c r="D750" s="152"/>
      <c r="E750" s="149"/>
      <c r="F750" s="152"/>
      <c r="G750" s="152"/>
      <c r="H750" s="152"/>
      <c r="I750" s="152"/>
      <c r="J750" s="156"/>
      <c r="K750" s="156"/>
      <c r="L750" s="156"/>
      <c r="M750" s="156"/>
      <c r="N750" s="156"/>
      <c r="O750" s="156"/>
      <c r="P750" s="156"/>
      <c r="Q750" s="152"/>
      <c r="R750" s="152"/>
      <c r="S750" s="152"/>
      <c r="T750" s="152"/>
      <c r="U750" s="152"/>
      <c r="V750" s="152"/>
      <c r="W750" s="152"/>
      <c r="X750" s="152"/>
      <c r="Y750" s="149"/>
    </row>
    <row r="751" spans="3:25" s="151" customFormat="1" ht="12.75">
      <c r="C751" s="152"/>
      <c r="D751" s="152"/>
      <c r="E751" s="149"/>
      <c r="F751" s="152"/>
      <c r="G751" s="152"/>
      <c r="H751" s="152"/>
      <c r="I751" s="152"/>
      <c r="J751" s="156"/>
      <c r="K751" s="156"/>
      <c r="L751" s="156"/>
      <c r="M751" s="156"/>
      <c r="N751" s="156"/>
      <c r="O751" s="156"/>
      <c r="P751" s="156"/>
      <c r="Q751" s="152"/>
      <c r="R751" s="152"/>
      <c r="S751" s="152"/>
      <c r="T751" s="152"/>
      <c r="U751" s="152"/>
      <c r="V751" s="152"/>
      <c r="W751" s="152"/>
      <c r="X751" s="152"/>
      <c r="Y751" s="149"/>
    </row>
    <row r="752" spans="3:25" s="151" customFormat="1" ht="12.75">
      <c r="C752" s="152"/>
      <c r="D752" s="152"/>
      <c r="E752" s="149"/>
      <c r="F752" s="152"/>
      <c r="G752" s="152"/>
      <c r="H752" s="152"/>
      <c r="I752" s="152"/>
      <c r="J752" s="156"/>
      <c r="K752" s="156"/>
      <c r="L752" s="156"/>
      <c r="M752" s="156"/>
      <c r="N752" s="156"/>
      <c r="O752" s="156"/>
      <c r="P752" s="156"/>
      <c r="Q752" s="152"/>
      <c r="R752" s="152"/>
      <c r="S752" s="152"/>
      <c r="T752" s="152"/>
      <c r="U752" s="152"/>
      <c r="V752" s="152"/>
      <c r="W752" s="152"/>
      <c r="X752" s="152"/>
      <c r="Y752" s="149"/>
    </row>
    <row r="753" spans="3:25" s="151" customFormat="1" ht="12.75">
      <c r="C753" s="152"/>
      <c r="D753" s="152"/>
      <c r="E753" s="149"/>
      <c r="F753" s="152"/>
      <c r="G753" s="152"/>
      <c r="H753" s="152"/>
      <c r="I753" s="152"/>
      <c r="J753" s="156"/>
      <c r="K753" s="156"/>
      <c r="L753" s="156"/>
      <c r="M753" s="156"/>
      <c r="N753" s="156"/>
      <c r="O753" s="156"/>
      <c r="P753" s="156"/>
      <c r="Q753" s="152"/>
      <c r="R753" s="152"/>
      <c r="S753" s="152"/>
      <c r="T753" s="152"/>
      <c r="U753" s="152"/>
      <c r="V753" s="152"/>
      <c r="W753" s="152"/>
      <c r="X753" s="152"/>
      <c r="Y753" s="149"/>
    </row>
    <row r="754" spans="3:25" s="151" customFormat="1" ht="12.75">
      <c r="C754" s="152"/>
      <c r="D754" s="152"/>
      <c r="E754" s="149"/>
      <c r="F754" s="152"/>
      <c r="G754" s="152"/>
      <c r="H754" s="152"/>
      <c r="I754" s="152"/>
      <c r="J754" s="156"/>
      <c r="K754" s="156"/>
      <c r="L754" s="156"/>
      <c r="M754" s="156"/>
      <c r="N754" s="156"/>
      <c r="O754" s="156"/>
      <c r="P754" s="156"/>
      <c r="Q754" s="152"/>
      <c r="R754" s="152"/>
      <c r="S754" s="152"/>
      <c r="T754" s="152"/>
      <c r="U754" s="152"/>
      <c r="V754" s="152"/>
      <c r="W754" s="152"/>
      <c r="X754" s="152"/>
      <c r="Y754" s="149"/>
    </row>
    <row r="755" spans="3:25" s="151" customFormat="1" ht="12.75">
      <c r="C755" s="152"/>
      <c r="D755" s="152"/>
      <c r="E755" s="149"/>
      <c r="F755" s="152"/>
      <c r="G755" s="152"/>
      <c r="H755" s="152"/>
      <c r="I755" s="152"/>
      <c r="J755" s="156"/>
      <c r="K755" s="156"/>
      <c r="L755" s="156"/>
      <c r="M755" s="156"/>
      <c r="N755" s="156"/>
      <c r="O755" s="156"/>
      <c r="P755" s="156"/>
      <c r="Q755" s="152"/>
      <c r="R755" s="152"/>
      <c r="S755" s="152"/>
      <c r="T755" s="152"/>
      <c r="U755" s="152"/>
      <c r="V755" s="152"/>
      <c r="W755" s="152"/>
      <c r="X755" s="152"/>
      <c r="Y755" s="149"/>
    </row>
    <row r="756" spans="3:25" s="151" customFormat="1" ht="12.75">
      <c r="C756" s="152"/>
      <c r="D756" s="152"/>
      <c r="E756" s="149"/>
      <c r="F756" s="152"/>
      <c r="G756" s="152"/>
      <c r="H756" s="152"/>
      <c r="I756" s="152"/>
      <c r="J756" s="156"/>
      <c r="K756" s="156"/>
      <c r="L756" s="156"/>
      <c r="M756" s="156"/>
      <c r="N756" s="156"/>
      <c r="O756" s="156"/>
      <c r="P756" s="156"/>
      <c r="Q756" s="152"/>
      <c r="R756" s="152"/>
      <c r="S756" s="152"/>
      <c r="T756" s="152"/>
      <c r="U756" s="152"/>
      <c r="V756" s="152"/>
      <c r="W756" s="152"/>
      <c r="X756" s="152"/>
      <c r="Y756" s="149"/>
    </row>
    <row r="757" spans="3:25" s="151" customFormat="1" ht="12.75">
      <c r="C757" s="152"/>
      <c r="D757" s="152"/>
      <c r="E757" s="149"/>
      <c r="F757" s="152"/>
      <c r="G757" s="152"/>
      <c r="H757" s="152"/>
      <c r="I757" s="152"/>
      <c r="J757" s="156"/>
      <c r="K757" s="156"/>
      <c r="L757" s="156"/>
      <c r="M757" s="156"/>
      <c r="N757" s="156"/>
      <c r="O757" s="156"/>
      <c r="P757" s="156"/>
      <c r="Q757" s="152"/>
      <c r="R757" s="152"/>
      <c r="S757" s="152"/>
      <c r="T757" s="152"/>
      <c r="U757" s="152"/>
      <c r="V757" s="152"/>
      <c r="W757" s="152"/>
      <c r="X757" s="152"/>
      <c r="Y757" s="149"/>
    </row>
    <row r="758" spans="3:25" s="151" customFormat="1" ht="12.75">
      <c r="C758" s="152"/>
      <c r="D758" s="152"/>
      <c r="E758" s="149"/>
      <c r="F758" s="152"/>
      <c r="G758" s="152"/>
      <c r="H758" s="152"/>
      <c r="I758" s="152"/>
      <c r="J758" s="156"/>
      <c r="K758" s="156"/>
      <c r="L758" s="156"/>
      <c r="M758" s="156"/>
      <c r="N758" s="156"/>
      <c r="O758" s="156"/>
      <c r="P758" s="156"/>
      <c r="Q758" s="152"/>
      <c r="R758" s="152"/>
      <c r="S758" s="152"/>
      <c r="T758" s="152"/>
      <c r="U758" s="152"/>
      <c r="V758" s="152"/>
      <c r="W758" s="152"/>
      <c r="X758" s="152"/>
      <c r="Y758" s="149"/>
    </row>
    <row r="759" spans="3:25" s="151" customFormat="1" ht="12.75">
      <c r="C759" s="152"/>
      <c r="D759" s="152"/>
      <c r="E759" s="149"/>
      <c r="F759" s="152"/>
      <c r="G759" s="152"/>
      <c r="H759" s="152"/>
      <c r="I759" s="152"/>
      <c r="J759" s="156"/>
      <c r="K759" s="156"/>
      <c r="L759" s="156"/>
      <c r="M759" s="156"/>
      <c r="N759" s="156"/>
      <c r="O759" s="156"/>
      <c r="P759" s="156"/>
      <c r="Q759" s="152"/>
      <c r="R759" s="152"/>
      <c r="S759" s="152"/>
      <c r="T759" s="152"/>
      <c r="U759" s="152"/>
      <c r="V759" s="152"/>
      <c r="W759" s="152"/>
      <c r="X759" s="152"/>
      <c r="Y759" s="149"/>
    </row>
    <row r="760" spans="3:25" s="151" customFormat="1" ht="12.75">
      <c r="C760" s="152"/>
      <c r="D760" s="152"/>
      <c r="E760" s="149"/>
      <c r="F760" s="152"/>
      <c r="G760" s="152"/>
      <c r="H760" s="152"/>
      <c r="I760" s="152"/>
      <c r="J760" s="156"/>
      <c r="K760" s="156"/>
      <c r="L760" s="156"/>
      <c r="M760" s="156"/>
      <c r="N760" s="156"/>
      <c r="O760" s="156"/>
      <c r="P760" s="156"/>
      <c r="Q760" s="152"/>
      <c r="R760" s="152"/>
      <c r="S760" s="152"/>
      <c r="T760" s="152"/>
      <c r="U760" s="152"/>
      <c r="V760" s="152"/>
      <c r="W760" s="152"/>
      <c r="X760" s="152"/>
      <c r="Y760" s="149"/>
    </row>
    <row r="761" spans="3:25" s="151" customFormat="1" ht="12.75">
      <c r="C761" s="152"/>
      <c r="D761" s="152"/>
      <c r="E761" s="149"/>
      <c r="F761" s="152"/>
      <c r="G761" s="152"/>
      <c r="H761" s="152"/>
      <c r="I761" s="152"/>
      <c r="J761" s="156"/>
      <c r="K761" s="156"/>
      <c r="L761" s="156"/>
      <c r="M761" s="156"/>
      <c r="N761" s="156"/>
      <c r="O761" s="156"/>
      <c r="P761" s="156"/>
      <c r="Q761" s="152"/>
      <c r="R761" s="152"/>
      <c r="S761" s="152"/>
      <c r="T761" s="152"/>
      <c r="U761" s="152"/>
      <c r="V761" s="152"/>
      <c r="W761" s="152"/>
      <c r="X761" s="152"/>
      <c r="Y761" s="149"/>
    </row>
    <row r="762" spans="3:25" s="151" customFormat="1" ht="12.75">
      <c r="C762" s="152"/>
      <c r="D762" s="152"/>
      <c r="E762" s="149"/>
      <c r="F762" s="152"/>
      <c r="G762" s="152"/>
      <c r="H762" s="152"/>
      <c r="I762" s="152"/>
      <c r="J762" s="156"/>
      <c r="K762" s="156"/>
      <c r="L762" s="156"/>
      <c r="M762" s="156"/>
      <c r="N762" s="156"/>
      <c r="O762" s="156"/>
      <c r="P762" s="156"/>
      <c r="Q762" s="152"/>
      <c r="R762" s="152"/>
      <c r="S762" s="152"/>
      <c r="T762" s="152"/>
      <c r="U762" s="152"/>
      <c r="V762" s="152"/>
      <c r="W762" s="152"/>
      <c r="X762" s="152"/>
      <c r="Y762" s="149"/>
    </row>
    <row r="763" spans="3:25" s="151" customFormat="1" ht="12.75">
      <c r="C763" s="152"/>
      <c r="D763" s="152"/>
      <c r="E763" s="149"/>
      <c r="F763" s="152"/>
      <c r="G763" s="152"/>
      <c r="H763" s="152"/>
      <c r="I763" s="152"/>
      <c r="J763" s="156"/>
      <c r="K763" s="156"/>
      <c r="L763" s="156"/>
      <c r="M763" s="156"/>
      <c r="N763" s="156"/>
      <c r="O763" s="156"/>
      <c r="P763" s="156"/>
      <c r="Q763" s="152"/>
      <c r="R763" s="152"/>
      <c r="S763" s="152"/>
      <c r="T763" s="152"/>
      <c r="U763" s="152"/>
      <c r="V763" s="152"/>
      <c r="W763" s="152"/>
      <c r="X763" s="152"/>
      <c r="Y763" s="149"/>
    </row>
    <row r="764" spans="3:25" s="151" customFormat="1" ht="12.75">
      <c r="C764" s="152"/>
      <c r="D764" s="152"/>
      <c r="E764" s="149"/>
      <c r="F764" s="152"/>
      <c r="G764" s="152"/>
      <c r="H764" s="152"/>
      <c r="I764" s="152"/>
      <c r="J764" s="156"/>
      <c r="K764" s="156"/>
      <c r="L764" s="156"/>
      <c r="M764" s="156"/>
      <c r="N764" s="156"/>
      <c r="O764" s="156"/>
      <c r="P764" s="156"/>
      <c r="Q764" s="152"/>
      <c r="R764" s="152"/>
      <c r="S764" s="152"/>
      <c r="T764" s="152"/>
      <c r="U764" s="152"/>
      <c r="V764" s="152"/>
      <c r="W764" s="152"/>
      <c r="X764" s="152"/>
      <c r="Y764" s="149"/>
    </row>
    <row r="765" spans="3:25" s="151" customFormat="1" ht="12.75">
      <c r="C765" s="152"/>
      <c r="D765" s="152"/>
      <c r="E765" s="149"/>
      <c r="F765" s="152"/>
      <c r="G765" s="152"/>
      <c r="H765" s="152"/>
      <c r="I765" s="152"/>
      <c r="J765" s="156"/>
      <c r="K765" s="156"/>
      <c r="L765" s="156"/>
      <c r="M765" s="156"/>
      <c r="N765" s="156"/>
      <c r="O765" s="156"/>
      <c r="P765" s="156"/>
      <c r="Q765" s="152"/>
      <c r="R765" s="152"/>
      <c r="S765" s="152"/>
      <c r="T765" s="152"/>
      <c r="U765" s="152"/>
      <c r="V765" s="152"/>
      <c r="W765" s="152"/>
      <c r="X765" s="152"/>
      <c r="Y765" s="149"/>
    </row>
    <row r="766" spans="3:25" s="151" customFormat="1" ht="12.75">
      <c r="C766" s="152"/>
      <c r="D766" s="152"/>
      <c r="E766" s="149"/>
      <c r="F766" s="152"/>
      <c r="G766" s="152"/>
      <c r="H766" s="152"/>
      <c r="I766" s="152"/>
      <c r="J766" s="156"/>
      <c r="K766" s="156"/>
      <c r="L766" s="156"/>
      <c r="M766" s="156"/>
      <c r="N766" s="156"/>
      <c r="O766" s="156"/>
      <c r="P766" s="156"/>
      <c r="Q766" s="152"/>
      <c r="R766" s="152"/>
      <c r="S766" s="152"/>
      <c r="T766" s="152"/>
      <c r="U766" s="152"/>
      <c r="V766" s="152"/>
      <c r="W766" s="152"/>
      <c r="X766" s="152"/>
      <c r="Y766" s="149"/>
    </row>
    <row r="767" spans="3:25" s="151" customFormat="1" ht="12.75">
      <c r="C767" s="152"/>
      <c r="D767" s="152"/>
      <c r="E767" s="149"/>
      <c r="F767" s="152"/>
      <c r="G767" s="152"/>
      <c r="H767" s="152"/>
      <c r="I767" s="152"/>
      <c r="J767" s="156"/>
      <c r="K767" s="156"/>
      <c r="L767" s="156"/>
      <c r="M767" s="156"/>
      <c r="N767" s="156"/>
      <c r="O767" s="156"/>
      <c r="P767" s="156"/>
      <c r="Q767" s="152"/>
      <c r="R767" s="152"/>
      <c r="S767" s="152"/>
      <c r="T767" s="152"/>
      <c r="U767" s="152"/>
      <c r="V767" s="152"/>
      <c r="W767" s="152"/>
      <c r="X767" s="152"/>
      <c r="Y767" s="149"/>
    </row>
    <row r="768" spans="3:25" s="151" customFormat="1" ht="12.75">
      <c r="C768" s="152"/>
      <c r="D768" s="152"/>
      <c r="E768" s="149"/>
      <c r="F768" s="152"/>
      <c r="G768" s="152"/>
      <c r="H768" s="152"/>
      <c r="I768" s="152"/>
      <c r="J768" s="156"/>
      <c r="K768" s="156"/>
      <c r="L768" s="156"/>
      <c r="M768" s="156"/>
      <c r="N768" s="156"/>
      <c r="O768" s="156"/>
      <c r="P768" s="156"/>
      <c r="Q768" s="152"/>
      <c r="R768" s="152"/>
      <c r="S768" s="152"/>
      <c r="T768" s="152"/>
      <c r="U768" s="152"/>
      <c r="V768" s="152"/>
      <c r="W768" s="152"/>
      <c r="X768" s="152"/>
      <c r="Y768" s="149"/>
    </row>
    <row r="769" spans="3:25" s="151" customFormat="1" ht="12.75">
      <c r="C769" s="152"/>
      <c r="D769" s="152"/>
      <c r="E769" s="149"/>
      <c r="F769" s="152"/>
      <c r="G769" s="152"/>
      <c r="H769" s="152"/>
      <c r="I769" s="152"/>
      <c r="J769" s="156"/>
      <c r="K769" s="156"/>
      <c r="L769" s="156"/>
      <c r="M769" s="156"/>
      <c r="N769" s="156"/>
      <c r="O769" s="156"/>
      <c r="P769" s="156"/>
      <c r="Q769" s="152"/>
      <c r="R769" s="152"/>
      <c r="S769" s="152"/>
      <c r="T769" s="152"/>
      <c r="U769" s="152"/>
      <c r="V769" s="152"/>
      <c r="W769" s="152"/>
      <c r="X769" s="152"/>
      <c r="Y769" s="149"/>
    </row>
    <row r="770" spans="3:25" s="151" customFormat="1" ht="12.75">
      <c r="C770" s="152"/>
      <c r="D770" s="152"/>
      <c r="E770" s="149"/>
      <c r="F770" s="152"/>
      <c r="G770" s="152"/>
      <c r="H770" s="152"/>
      <c r="I770" s="152"/>
      <c r="J770" s="156"/>
      <c r="K770" s="156"/>
      <c r="L770" s="156"/>
      <c r="M770" s="156"/>
      <c r="N770" s="156"/>
      <c r="O770" s="156"/>
      <c r="P770" s="156"/>
      <c r="Q770" s="152"/>
      <c r="R770" s="152"/>
      <c r="S770" s="152"/>
      <c r="T770" s="152"/>
      <c r="U770" s="152"/>
      <c r="V770" s="152"/>
      <c r="W770" s="152"/>
      <c r="X770" s="152"/>
      <c r="Y770" s="149"/>
    </row>
    <row r="771" spans="3:25" s="151" customFormat="1" ht="12.75">
      <c r="C771" s="152"/>
      <c r="D771" s="152"/>
      <c r="E771" s="149"/>
      <c r="F771" s="152"/>
      <c r="G771" s="152"/>
      <c r="H771" s="152"/>
      <c r="I771" s="152"/>
      <c r="J771" s="156"/>
      <c r="K771" s="156"/>
      <c r="L771" s="156"/>
      <c r="M771" s="156"/>
      <c r="N771" s="156"/>
      <c r="O771" s="156"/>
      <c r="P771" s="156"/>
      <c r="Q771" s="152"/>
      <c r="R771" s="152"/>
      <c r="S771" s="152"/>
      <c r="T771" s="152"/>
      <c r="U771" s="152"/>
      <c r="V771" s="152"/>
      <c r="W771" s="152"/>
      <c r="X771" s="152"/>
      <c r="Y771" s="149"/>
    </row>
    <row r="772" spans="3:25" s="151" customFormat="1" ht="12.75">
      <c r="C772" s="152"/>
      <c r="D772" s="152"/>
      <c r="E772" s="149"/>
      <c r="F772" s="152"/>
      <c r="G772" s="152"/>
      <c r="H772" s="152"/>
      <c r="I772" s="152"/>
      <c r="J772" s="156"/>
      <c r="K772" s="156"/>
      <c r="L772" s="156"/>
      <c r="M772" s="156"/>
      <c r="N772" s="156"/>
      <c r="O772" s="156"/>
      <c r="P772" s="156"/>
      <c r="Q772" s="152"/>
      <c r="R772" s="152"/>
      <c r="S772" s="152"/>
      <c r="T772" s="152"/>
      <c r="U772" s="152"/>
      <c r="V772" s="152"/>
      <c r="W772" s="152"/>
      <c r="X772" s="152"/>
      <c r="Y772" s="149"/>
    </row>
    <row r="773" spans="3:25" s="151" customFormat="1" ht="12.75">
      <c r="C773" s="152"/>
      <c r="D773" s="152"/>
      <c r="E773" s="149"/>
      <c r="F773" s="152"/>
      <c r="G773" s="152"/>
      <c r="H773" s="152"/>
      <c r="I773" s="152"/>
      <c r="J773" s="156"/>
      <c r="K773" s="156"/>
      <c r="L773" s="156"/>
      <c r="M773" s="156"/>
      <c r="N773" s="156"/>
      <c r="O773" s="156"/>
      <c r="P773" s="156"/>
      <c r="Q773" s="152"/>
      <c r="R773" s="152"/>
      <c r="S773" s="152"/>
      <c r="T773" s="152"/>
      <c r="U773" s="152"/>
      <c r="V773" s="152"/>
      <c r="W773" s="152"/>
      <c r="X773" s="152"/>
      <c r="Y773" s="149"/>
    </row>
    <row r="774" spans="3:25" s="151" customFormat="1" ht="12.75">
      <c r="C774" s="152"/>
      <c r="D774" s="152"/>
      <c r="E774" s="149"/>
      <c r="F774" s="152"/>
      <c r="G774" s="152"/>
      <c r="H774" s="152"/>
      <c r="I774" s="152"/>
      <c r="J774" s="156"/>
      <c r="K774" s="156"/>
      <c r="L774" s="156"/>
      <c r="M774" s="156"/>
      <c r="N774" s="156"/>
      <c r="O774" s="156"/>
      <c r="P774" s="156"/>
      <c r="Q774" s="152"/>
      <c r="R774" s="152"/>
      <c r="S774" s="152"/>
      <c r="T774" s="152"/>
      <c r="U774" s="152"/>
      <c r="V774" s="152"/>
      <c r="W774" s="152"/>
      <c r="X774" s="152"/>
      <c r="Y774" s="149"/>
    </row>
    <row r="775" spans="3:25" s="151" customFormat="1" ht="12.75">
      <c r="C775" s="152"/>
      <c r="D775" s="152"/>
      <c r="E775" s="149"/>
      <c r="F775" s="152"/>
      <c r="G775" s="152"/>
      <c r="H775" s="152"/>
      <c r="I775" s="152"/>
      <c r="J775" s="156"/>
      <c r="K775" s="156"/>
      <c r="L775" s="156"/>
      <c r="M775" s="156"/>
      <c r="N775" s="156"/>
      <c r="O775" s="156"/>
      <c r="P775" s="156"/>
      <c r="Q775" s="152"/>
      <c r="R775" s="152"/>
      <c r="S775" s="152"/>
      <c r="T775" s="152"/>
      <c r="U775" s="152"/>
      <c r="V775" s="152"/>
      <c r="W775" s="152"/>
      <c r="X775" s="152"/>
      <c r="Y775" s="149"/>
    </row>
    <row r="776" spans="3:25" s="151" customFormat="1" ht="12.75">
      <c r="C776" s="152"/>
      <c r="D776" s="152"/>
      <c r="E776" s="149"/>
      <c r="F776" s="152"/>
      <c r="G776" s="152"/>
      <c r="H776" s="152"/>
      <c r="I776" s="152"/>
      <c r="J776" s="156"/>
      <c r="K776" s="156"/>
      <c r="L776" s="156"/>
      <c r="M776" s="156"/>
      <c r="N776" s="156"/>
      <c r="O776" s="156"/>
      <c r="P776" s="156"/>
      <c r="Q776" s="152"/>
      <c r="R776" s="152"/>
      <c r="S776" s="152"/>
      <c r="T776" s="152"/>
      <c r="U776" s="152"/>
      <c r="V776" s="152"/>
      <c r="W776" s="152"/>
      <c r="X776" s="152"/>
      <c r="Y776" s="149"/>
    </row>
    <row r="777" spans="3:25" s="151" customFormat="1" ht="12.75">
      <c r="C777" s="152"/>
      <c r="D777" s="152"/>
      <c r="E777" s="149"/>
      <c r="F777" s="152"/>
      <c r="G777" s="152"/>
      <c r="H777" s="152"/>
      <c r="I777" s="152"/>
      <c r="J777" s="156"/>
      <c r="K777" s="156"/>
      <c r="L777" s="156"/>
      <c r="M777" s="156"/>
      <c r="N777" s="156"/>
      <c r="O777" s="156"/>
      <c r="P777" s="156"/>
      <c r="Q777" s="152"/>
      <c r="R777" s="152"/>
      <c r="S777" s="152"/>
      <c r="T777" s="152"/>
      <c r="U777" s="152"/>
      <c r="V777" s="152"/>
      <c r="W777" s="152"/>
      <c r="X777" s="152"/>
      <c r="Y777" s="149"/>
    </row>
    <row r="778" spans="3:25" s="151" customFormat="1" ht="12.75">
      <c r="C778" s="152"/>
      <c r="D778" s="152"/>
      <c r="E778" s="149"/>
      <c r="F778" s="152"/>
      <c r="G778" s="152"/>
      <c r="H778" s="152"/>
      <c r="I778" s="152"/>
      <c r="J778" s="156"/>
      <c r="K778" s="156"/>
      <c r="L778" s="156"/>
      <c r="M778" s="156"/>
      <c r="N778" s="156"/>
      <c r="O778" s="156"/>
      <c r="P778" s="156"/>
      <c r="Q778" s="152"/>
      <c r="R778" s="152"/>
      <c r="S778" s="152"/>
      <c r="T778" s="152"/>
      <c r="U778" s="152"/>
      <c r="V778" s="152"/>
      <c r="W778" s="152"/>
      <c r="X778" s="152"/>
      <c r="Y778" s="149"/>
    </row>
    <row r="779" spans="3:25" s="151" customFormat="1" ht="12.75">
      <c r="C779" s="152"/>
      <c r="D779" s="152"/>
      <c r="E779" s="149"/>
      <c r="F779" s="152"/>
      <c r="G779" s="152"/>
      <c r="H779" s="152"/>
      <c r="I779" s="152"/>
      <c r="J779" s="156"/>
      <c r="K779" s="156"/>
      <c r="L779" s="156"/>
      <c r="M779" s="156"/>
      <c r="N779" s="156"/>
      <c r="O779" s="156"/>
      <c r="P779" s="156"/>
      <c r="Q779" s="152"/>
      <c r="R779" s="152"/>
      <c r="S779" s="152"/>
      <c r="T779" s="152"/>
      <c r="U779" s="152"/>
      <c r="V779" s="152"/>
      <c r="W779" s="152"/>
      <c r="X779" s="152"/>
      <c r="Y779" s="149"/>
    </row>
    <row r="780" spans="3:25" s="151" customFormat="1" ht="12.75">
      <c r="C780" s="152"/>
      <c r="D780" s="152"/>
      <c r="E780" s="149"/>
      <c r="F780" s="152"/>
      <c r="G780" s="152"/>
      <c r="H780" s="152"/>
      <c r="I780" s="152"/>
      <c r="J780" s="156"/>
      <c r="K780" s="156"/>
      <c r="L780" s="156"/>
      <c r="M780" s="156"/>
      <c r="N780" s="156"/>
      <c r="O780" s="156"/>
      <c r="P780" s="156"/>
      <c r="Q780" s="152"/>
      <c r="R780" s="152"/>
      <c r="S780" s="152"/>
      <c r="T780" s="152"/>
      <c r="U780" s="152"/>
      <c r="V780" s="152"/>
      <c r="W780" s="152"/>
      <c r="X780" s="152"/>
      <c r="Y780" s="149"/>
    </row>
    <row r="781" spans="3:25" s="151" customFormat="1" ht="12.75">
      <c r="C781" s="152"/>
      <c r="D781" s="152"/>
      <c r="E781" s="149"/>
      <c r="F781" s="152"/>
      <c r="G781" s="152"/>
      <c r="H781" s="152"/>
      <c r="I781" s="152"/>
      <c r="J781" s="156"/>
      <c r="K781" s="156"/>
      <c r="L781" s="156"/>
      <c r="M781" s="156"/>
      <c r="N781" s="156"/>
      <c r="O781" s="156"/>
      <c r="P781" s="156"/>
      <c r="Q781" s="152"/>
      <c r="R781" s="152"/>
      <c r="S781" s="152"/>
      <c r="T781" s="152"/>
      <c r="U781" s="152"/>
      <c r="V781" s="152"/>
      <c r="W781" s="152"/>
      <c r="X781" s="152"/>
      <c r="Y781" s="149"/>
    </row>
    <row r="782" spans="3:25" s="151" customFormat="1" ht="12.75">
      <c r="C782" s="152"/>
      <c r="D782" s="152"/>
      <c r="E782" s="149"/>
      <c r="F782" s="152"/>
      <c r="G782" s="152"/>
      <c r="H782" s="152"/>
      <c r="I782" s="152"/>
      <c r="J782" s="156"/>
      <c r="K782" s="156"/>
      <c r="L782" s="156"/>
      <c r="M782" s="156"/>
      <c r="N782" s="156"/>
      <c r="O782" s="156"/>
      <c r="P782" s="156"/>
      <c r="Q782" s="152"/>
      <c r="R782" s="152"/>
      <c r="S782" s="152"/>
      <c r="T782" s="152"/>
      <c r="U782" s="152"/>
      <c r="V782" s="152"/>
      <c r="W782" s="152"/>
      <c r="X782" s="152"/>
      <c r="Y782" s="149"/>
    </row>
    <row r="783" spans="3:25" s="151" customFormat="1" ht="12.75">
      <c r="C783" s="152"/>
      <c r="D783" s="152"/>
      <c r="E783" s="149"/>
      <c r="F783" s="152"/>
      <c r="G783" s="152"/>
      <c r="H783" s="152"/>
      <c r="I783" s="152"/>
      <c r="J783" s="156"/>
      <c r="K783" s="156"/>
      <c r="L783" s="156"/>
      <c r="M783" s="156"/>
      <c r="N783" s="156"/>
      <c r="O783" s="156"/>
      <c r="P783" s="156"/>
      <c r="Q783" s="152"/>
      <c r="R783" s="152"/>
      <c r="S783" s="152"/>
      <c r="T783" s="152"/>
      <c r="U783" s="152"/>
      <c r="V783" s="152"/>
      <c r="W783" s="152"/>
      <c r="X783" s="152"/>
      <c r="Y783" s="149"/>
    </row>
    <row r="784" spans="3:25" s="151" customFormat="1" ht="12.75">
      <c r="C784" s="152"/>
      <c r="D784" s="152"/>
      <c r="E784" s="149"/>
      <c r="F784" s="152"/>
      <c r="G784" s="152"/>
      <c r="H784" s="152"/>
      <c r="I784" s="152"/>
      <c r="J784" s="156"/>
      <c r="K784" s="156"/>
      <c r="L784" s="156"/>
      <c r="M784" s="156"/>
      <c r="N784" s="156"/>
      <c r="O784" s="156"/>
      <c r="P784" s="156"/>
      <c r="Q784" s="152"/>
      <c r="R784" s="152"/>
      <c r="S784" s="152"/>
      <c r="T784" s="152"/>
      <c r="U784" s="152"/>
      <c r="V784" s="152"/>
      <c r="W784" s="152"/>
      <c r="X784" s="152"/>
      <c r="Y784" s="149"/>
    </row>
    <row r="785" spans="3:25" s="151" customFormat="1" ht="12.75">
      <c r="C785" s="152"/>
      <c r="D785" s="152"/>
      <c r="E785" s="149"/>
      <c r="F785" s="152"/>
      <c r="G785" s="152"/>
      <c r="H785" s="152"/>
      <c r="I785" s="152"/>
      <c r="J785" s="156"/>
      <c r="K785" s="156"/>
      <c r="L785" s="156"/>
      <c r="M785" s="156"/>
      <c r="N785" s="156"/>
      <c r="O785" s="156"/>
      <c r="P785" s="156"/>
      <c r="Q785" s="152"/>
      <c r="R785" s="152"/>
      <c r="S785" s="152"/>
      <c r="T785" s="152"/>
      <c r="U785" s="152"/>
      <c r="V785" s="152"/>
      <c r="W785" s="152"/>
      <c r="X785" s="152"/>
      <c r="Y785" s="149"/>
    </row>
    <row r="786" spans="3:25" s="151" customFormat="1" ht="12.75">
      <c r="C786" s="152"/>
      <c r="D786" s="152"/>
      <c r="E786" s="149"/>
      <c r="F786" s="152"/>
      <c r="G786" s="152"/>
      <c r="H786" s="152"/>
      <c r="I786" s="152"/>
      <c r="J786" s="156"/>
      <c r="K786" s="156"/>
      <c r="L786" s="156"/>
      <c r="M786" s="156"/>
      <c r="N786" s="156"/>
      <c r="O786" s="156"/>
      <c r="P786" s="156"/>
      <c r="Q786" s="152"/>
      <c r="R786" s="152"/>
      <c r="S786" s="152"/>
      <c r="T786" s="152"/>
      <c r="U786" s="152"/>
      <c r="V786" s="152"/>
      <c r="W786" s="152"/>
      <c r="X786" s="152"/>
      <c r="Y786" s="149"/>
    </row>
    <row r="787" spans="3:25" s="151" customFormat="1" ht="12.75">
      <c r="C787" s="152"/>
      <c r="D787" s="152"/>
      <c r="E787" s="149"/>
      <c r="F787" s="152"/>
      <c r="G787" s="152"/>
      <c r="H787" s="152"/>
      <c r="I787" s="152"/>
      <c r="J787" s="156"/>
      <c r="K787" s="156"/>
      <c r="L787" s="156"/>
      <c r="M787" s="156"/>
      <c r="N787" s="156"/>
      <c r="O787" s="156"/>
      <c r="P787" s="156"/>
      <c r="Q787" s="152"/>
      <c r="R787" s="152"/>
      <c r="S787" s="152"/>
      <c r="T787" s="152"/>
      <c r="U787" s="152"/>
      <c r="V787" s="152"/>
      <c r="W787" s="152"/>
      <c r="X787" s="152"/>
      <c r="Y787" s="149"/>
    </row>
    <row r="788" spans="3:25" s="151" customFormat="1" ht="12.75">
      <c r="C788" s="152"/>
      <c r="D788" s="152"/>
      <c r="E788" s="149"/>
      <c r="F788" s="152"/>
      <c r="G788" s="152"/>
      <c r="H788" s="152"/>
      <c r="I788" s="152"/>
      <c r="J788" s="156"/>
      <c r="K788" s="156"/>
      <c r="L788" s="156"/>
      <c r="M788" s="156"/>
      <c r="N788" s="156"/>
      <c r="O788" s="156"/>
      <c r="P788" s="156"/>
      <c r="Q788" s="152"/>
      <c r="R788" s="152"/>
      <c r="S788" s="152"/>
      <c r="T788" s="152"/>
      <c r="U788" s="152"/>
      <c r="V788" s="152"/>
      <c r="W788" s="152"/>
      <c r="X788" s="152"/>
      <c r="Y788" s="149"/>
    </row>
    <row r="789" spans="3:25" s="151" customFormat="1" ht="12.75">
      <c r="C789" s="152"/>
      <c r="D789" s="152"/>
      <c r="E789" s="149"/>
      <c r="F789" s="152"/>
      <c r="G789" s="152"/>
      <c r="H789" s="152"/>
      <c r="I789" s="152"/>
      <c r="J789" s="156"/>
      <c r="K789" s="156"/>
      <c r="L789" s="156"/>
      <c r="M789" s="156"/>
      <c r="N789" s="156"/>
      <c r="O789" s="156"/>
      <c r="P789" s="156"/>
      <c r="Q789" s="152"/>
      <c r="R789" s="152"/>
      <c r="S789" s="152"/>
      <c r="T789" s="152"/>
      <c r="U789" s="152"/>
      <c r="V789" s="152"/>
      <c r="W789" s="152"/>
      <c r="X789" s="152"/>
      <c r="Y789" s="149"/>
    </row>
    <row r="790" spans="3:25" s="151" customFormat="1" ht="12.75">
      <c r="C790" s="152"/>
      <c r="D790" s="152"/>
      <c r="E790" s="149"/>
      <c r="F790" s="152"/>
      <c r="G790" s="152"/>
      <c r="H790" s="152"/>
      <c r="I790" s="152"/>
      <c r="J790" s="156"/>
      <c r="K790" s="156"/>
      <c r="L790" s="156"/>
      <c r="M790" s="156"/>
      <c r="N790" s="156"/>
      <c r="O790" s="156"/>
      <c r="P790" s="156"/>
      <c r="Q790" s="152"/>
      <c r="R790" s="152"/>
      <c r="S790" s="152"/>
      <c r="T790" s="152"/>
      <c r="U790" s="152"/>
      <c r="V790" s="152"/>
      <c r="W790" s="152"/>
      <c r="X790" s="152"/>
      <c r="Y790" s="149"/>
    </row>
    <row r="791" spans="3:25" s="151" customFormat="1" ht="12.75">
      <c r="C791" s="152"/>
      <c r="D791" s="152"/>
      <c r="E791" s="149"/>
      <c r="F791" s="152"/>
      <c r="G791" s="152"/>
      <c r="H791" s="152"/>
      <c r="I791" s="152"/>
      <c r="J791" s="156"/>
      <c r="K791" s="156"/>
      <c r="L791" s="156"/>
      <c r="M791" s="156"/>
      <c r="N791" s="156"/>
      <c r="O791" s="156"/>
      <c r="P791" s="156"/>
      <c r="Q791" s="152"/>
      <c r="R791" s="152"/>
      <c r="S791" s="152"/>
      <c r="T791" s="152"/>
      <c r="U791" s="152"/>
      <c r="V791" s="152"/>
      <c r="W791" s="152"/>
      <c r="X791" s="152"/>
      <c r="Y791" s="149"/>
    </row>
    <row r="792" spans="3:25" s="151" customFormat="1" ht="12.75">
      <c r="C792" s="152"/>
      <c r="D792" s="152"/>
      <c r="E792" s="149"/>
      <c r="F792" s="152"/>
      <c r="G792" s="152"/>
      <c r="H792" s="152"/>
      <c r="I792" s="152"/>
      <c r="J792" s="156"/>
      <c r="K792" s="156"/>
      <c r="L792" s="156"/>
      <c r="M792" s="156"/>
      <c r="N792" s="156"/>
      <c r="O792" s="156"/>
      <c r="P792" s="156"/>
      <c r="Q792" s="152"/>
      <c r="R792" s="152"/>
      <c r="S792" s="152"/>
      <c r="T792" s="152"/>
      <c r="U792" s="152"/>
      <c r="V792" s="152"/>
      <c r="W792" s="152"/>
      <c r="X792" s="152"/>
      <c r="Y792" s="149"/>
    </row>
    <row r="793" spans="3:25" s="151" customFormat="1" ht="12.75">
      <c r="C793" s="152"/>
      <c r="D793" s="152"/>
      <c r="E793" s="149"/>
      <c r="F793" s="152"/>
      <c r="G793" s="152"/>
      <c r="H793" s="152"/>
      <c r="I793" s="152"/>
      <c r="J793" s="156"/>
      <c r="K793" s="156"/>
      <c r="L793" s="156"/>
      <c r="M793" s="156"/>
      <c r="N793" s="156"/>
      <c r="O793" s="156"/>
      <c r="P793" s="156"/>
      <c r="Q793" s="152"/>
      <c r="R793" s="152"/>
      <c r="S793" s="152"/>
      <c r="T793" s="152"/>
      <c r="U793" s="152"/>
      <c r="V793" s="152"/>
      <c r="W793" s="152"/>
      <c r="X793" s="152"/>
      <c r="Y793" s="149"/>
    </row>
    <row r="794" spans="3:25" s="151" customFormat="1" ht="12.75">
      <c r="C794" s="152"/>
      <c r="D794" s="152"/>
      <c r="E794" s="149"/>
      <c r="F794" s="152"/>
      <c r="G794" s="152"/>
      <c r="H794" s="152"/>
      <c r="I794" s="152"/>
      <c r="J794" s="156"/>
      <c r="K794" s="156"/>
      <c r="L794" s="156"/>
      <c r="M794" s="156"/>
      <c r="N794" s="156"/>
      <c r="O794" s="156"/>
      <c r="P794" s="156"/>
      <c r="Q794" s="152"/>
      <c r="R794" s="152"/>
      <c r="S794" s="152"/>
      <c r="T794" s="152"/>
      <c r="U794" s="152"/>
      <c r="V794" s="152"/>
      <c r="W794" s="152"/>
      <c r="X794" s="152"/>
      <c r="Y794" s="149"/>
    </row>
    <row r="795" spans="3:25" s="151" customFormat="1" ht="12.75">
      <c r="C795" s="152"/>
      <c r="D795" s="152"/>
      <c r="E795" s="149"/>
      <c r="F795" s="152"/>
      <c r="G795" s="152"/>
      <c r="H795" s="152"/>
      <c r="I795" s="152"/>
      <c r="J795" s="156"/>
      <c r="K795" s="156"/>
      <c r="L795" s="156"/>
      <c r="M795" s="156"/>
      <c r="N795" s="156"/>
      <c r="O795" s="156"/>
      <c r="P795" s="156"/>
      <c r="Q795" s="152"/>
      <c r="R795" s="152"/>
      <c r="S795" s="152"/>
      <c r="T795" s="152"/>
      <c r="U795" s="152"/>
      <c r="V795" s="152"/>
      <c r="W795" s="152"/>
      <c r="X795" s="152"/>
      <c r="Y795" s="149"/>
    </row>
    <row r="796" spans="3:25" s="151" customFormat="1" ht="12.75">
      <c r="C796" s="152"/>
      <c r="D796" s="152"/>
      <c r="E796" s="149"/>
      <c r="F796" s="152"/>
      <c r="G796" s="152"/>
      <c r="H796" s="152"/>
      <c r="I796" s="152"/>
      <c r="J796" s="156"/>
      <c r="K796" s="156"/>
      <c r="L796" s="156"/>
      <c r="M796" s="156"/>
      <c r="N796" s="156"/>
      <c r="O796" s="156"/>
      <c r="P796" s="156"/>
      <c r="Q796" s="152"/>
      <c r="R796" s="152"/>
      <c r="S796" s="152"/>
      <c r="T796" s="152"/>
      <c r="U796" s="152"/>
      <c r="V796" s="152"/>
      <c r="W796" s="152"/>
      <c r="X796" s="152"/>
      <c r="Y796" s="149"/>
    </row>
    <row r="797" spans="3:25" s="151" customFormat="1" ht="12.75">
      <c r="C797" s="152"/>
      <c r="D797" s="152"/>
      <c r="E797" s="149"/>
      <c r="F797" s="152"/>
      <c r="G797" s="152"/>
      <c r="H797" s="152"/>
      <c r="I797" s="152"/>
      <c r="J797" s="156"/>
      <c r="K797" s="156"/>
      <c r="L797" s="156"/>
      <c r="M797" s="156"/>
      <c r="N797" s="156"/>
      <c r="O797" s="156"/>
      <c r="P797" s="156"/>
      <c r="Q797" s="152"/>
      <c r="R797" s="152"/>
      <c r="S797" s="152"/>
      <c r="T797" s="152"/>
      <c r="U797" s="152"/>
      <c r="V797" s="152"/>
      <c r="W797" s="152"/>
      <c r="X797" s="152"/>
      <c r="Y797" s="149"/>
    </row>
    <row r="798" spans="3:25" s="151" customFormat="1" ht="12.75">
      <c r="C798" s="152"/>
      <c r="D798" s="152"/>
      <c r="E798" s="149"/>
      <c r="F798" s="152"/>
      <c r="G798" s="152"/>
      <c r="H798" s="152"/>
      <c r="I798" s="152"/>
      <c r="J798" s="156"/>
      <c r="K798" s="156"/>
      <c r="L798" s="156"/>
      <c r="M798" s="156"/>
      <c r="N798" s="156"/>
      <c r="O798" s="156"/>
      <c r="P798" s="156"/>
      <c r="Q798" s="152"/>
      <c r="R798" s="152"/>
      <c r="S798" s="152"/>
      <c r="T798" s="152"/>
      <c r="U798" s="152"/>
      <c r="V798" s="152"/>
      <c r="W798" s="152"/>
      <c r="X798" s="152"/>
      <c r="Y798" s="149"/>
    </row>
    <row r="799" spans="3:25" s="151" customFormat="1" ht="12.75">
      <c r="C799" s="152"/>
      <c r="D799" s="152"/>
      <c r="E799" s="149"/>
      <c r="F799" s="152"/>
      <c r="G799" s="152"/>
      <c r="H799" s="152"/>
      <c r="I799" s="152"/>
      <c r="J799" s="156"/>
      <c r="K799" s="156"/>
      <c r="L799" s="156"/>
      <c r="M799" s="156"/>
      <c r="N799" s="156"/>
      <c r="O799" s="156"/>
      <c r="P799" s="156"/>
      <c r="Q799" s="152"/>
      <c r="R799" s="152"/>
      <c r="S799" s="152"/>
      <c r="T799" s="152"/>
      <c r="U799" s="152"/>
      <c r="V799" s="152"/>
      <c r="W799" s="152"/>
      <c r="X799" s="152"/>
      <c r="Y799" s="149"/>
    </row>
    <row r="800" spans="3:25" s="151" customFormat="1" ht="12.75">
      <c r="C800" s="152"/>
      <c r="D800" s="152"/>
      <c r="E800" s="149"/>
      <c r="F800" s="152"/>
      <c r="G800" s="152"/>
      <c r="H800" s="152"/>
      <c r="I800" s="152"/>
      <c r="J800" s="156"/>
      <c r="K800" s="156"/>
      <c r="L800" s="156"/>
      <c r="M800" s="156"/>
      <c r="N800" s="156"/>
      <c r="O800" s="156"/>
      <c r="P800" s="156"/>
      <c r="Q800" s="152"/>
      <c r="R800" s="152"/>
      <c r="S800" s="152"/>
      <c r="T800" s="152"/>
      <c r="U800" s="152"/>
      <c r="V800" s="152"/>
      <c r="W800" s="152"/>
      <c r="X800" s="152"/>
      <c r="Y800" s="149"/>
    </row>
    <row r="801" spans="3:25" s="151" customFormat="1" ht="12.75">
      <c r="C801" s="152"/>
      <c r="D801" s="152"/>
      <c r="E801" s="149"/>
      <c r="F801" s="152"/>
      <c r="G801" s="152"/>
      <c r="H801" s="152"/>
      <c r="I801" s="152"/>
      <c r="J801" s="156"/>
      <c r="K801" s="156"/>
      <c r="L801" s="156"/>
      <c r="M801" s="156"/>
      <c r="N801" s="156"/>
      <c r="O801" s="156"/>
      <c r="P801" s="156"/>
      <c r="Q801" s="152"/>
      <c r="R801" s="152"/>
      <c r="S801" s="152"/>
      <c r="T801" s="152"/>
      <c r="U801" s="152"/>
      <c r="V801" s="152"/>
      <c r="W801" s="152"/>
      <c r="X801" s="152"/>
      <c r="Y801" s="149"/>
    </row>
    <row r="802" spans="3:25" s="151" customFormat="1" ht="12.75">
      <c r="C802" s="152"/>
      <c r="D802" s="152"/>
      <c r="E802" s="149"/>
      <c r="F802" s="152"/>
      <c r="G802" s="152"/>
      <c r="H802" s="152"/>
      <c r="I802" s="152"/>
      <c r="J802" s="156"/>
      <c r="K802" s="156"/>
      <c r="L802" s="156"/>
      <c r="M802" s="156"/>
      <c r="N802" s="156"/>
      <c r="O802" s="156"/>
      <c r="P802" s="156"/>
      <c r="Q802" s="152"/>
      <c r="R802" s="152"/>
      <c r="S802" s="152"/>
      <c r="T802" s="152"/>
      <c r="U802" s="152"/>
      <c r="V802" s="152"/>
      <c r="W802" s="152"/>
      <c r="X802" s="152"/>
      <c r="Y802" s="149"/>
    </row>
    <row r="803" spans="3:25" s="151" customFormat="1" ht="12.75">
      <c r="C803" s="152"/>
      <c r="D803" s="152"/>
      <c r="E803" s="149"/>
      <c r="F803" s="152"/>
      <c r="G803" s="152"/>
      <c r="H803" s="152"/>
      <c r="I803" s="152"/>
      <c r="J803" s="156"/>
      <c r="K803" s="156"/>
      <c r="L803" s="156"/>
      <c r="M803" s="156"/>
      <c r="N803" s="156"/>
      <c r="O803" s="156"/>
      <c r="P803" s="156"/>
      <c r="Q803" s="152"/>
      <c r="R803" s="152"/>
      <c r="S803" s="152"/>
      <c r="T803" s="152"/>
      <c r="U803" s="152"/>
      <c r="V803" s="152"/>
      <c r="W803" s="152"/>
      <c r="X803" s="152"/>
      <c r="Y803" s="149"/>
    </row>
    <row r="804" spans="3:25" s="151" customFormat="1" ht="12.75">
      <c r="C804" s="152"/>
      <c r="D804" s="152"/>
      <c r="E804" s="149"/>
      <c r="F804" s="152"/>
      <c r="G804" s="152"/>
      <c r="H804" s="152"/>
      <c r="I804" s="152"/>
      <c r="J804" s="156"/>
      <c r="K804" s="156"/>
      <c r="L804" s="156"/>
      <c r="M804" s="156"/>
      <c r="N804" s="156"/>
      <c r="O804" s="156"/>
      <c r="P804" s="156"/>
      <c r="Q804" s="152"/>
      <c r="R804" s="152"/>
      <c r="S804" s="152"/>
      <c r="T804" s="152"/>
      <c r="U804" s="152"/>
      <c r="V804" s="152"/>
      <c r="W804" s="152"/>
      <c r="X804" s="152"/>
      <c r="Y804" s="149"/>
    </row>
    <row r="805" spans="3:25" s="151" customFormat="1" ht="12.75">
      <c r="C805" s="152"/>
      <c r="D805" s="152"/>
      <c r="E805" s="149"/>
      <c r="F805" s="152"/>
      <c r="G805" s="152"/>
      <c r="H805" s="152"/>
      <c r="I805" s="152"/>
      <c r="J805" s="156"/>
      <c r="K805" s="156"/>
      <c r="L805" s="156"/>
      <c r="M805" s="156"/>
      <c r="N805" s="156"/>
      <c r="O805" s="156"/>
      <c r="P805" s="156"/>
      <c r="Q805" s="152"/>
      <c r="R805" s="152"/>
      <c r="S805" s="152"/>
      <c r="T805" s="152"/>
      <c r="U805" s="152"/>
      <c r="V805" s="152"/>
      <c r="W805" s="152"/>
      <c r="X805" s="152"/>
      <c r="Y805" s="149"/>
    </row>
    <row r="806" spans="3:25" s="151" customFormat="1" ht="12.75">
      <c r="C806" s="152"/>
      <c r="D806" s="152"/>
      <c r="E806" s="149"/>
      <c r="F806" s="152"/>
      <c r="G806" s="152"/>
      <c r="H806" s="152"/>
      <c r="I806" s="152"/>
      <c r="J806" s="156"/>
      <c r="K806" s="156"/>
      <c r="L806" s="156"/>
      <c r="M806" s="156"/>
      <c r="N806" s="156"/>
      <c r="O806" s="156"/>
      <c r="P806" s="156"/>
      <c r="Q806" s="152"/>
      <c r="R806" s="152"/>
      <c r="S806" s="152"/>
      <c r="T806" s="152"/>
      <c r="U806" s="152"/>
      <c r="V806" s="152"/>
      <c r="W806" s="152"/>
      <c r="X806" s="152"/>
      <c r="Y806" s="149"/>
    </row>
    <row r="807" spans="3:25" s="151" customFormat="1" ht="12.75">
      <c r="C807" s="152"/>
      <c r="D807" s="152"/>
      <c r="E807" s="149"/>
      <c r="F807" s="152"/>
      <c r="G807" s="152"/>
      <c r="H807" s="152"/>
      <c r="I807" s="152"/>
      <c r="J807" s="156"/>
      <c r="K807" s="156"/>
      <c r="L807" s="156"/>
      <c r="M807" s="156"/>
      <c r="N807" s="156"/>
      <c r="O807" s="156"/>
      <c r="P807" s="156"/>
      <c r="Q807" s="152"/>
      <c r="R807" s="152"/>
      <c r="S807" s="152"/>
      <c r="T807" s="152"/>
      <c r="U807" s="152"/>
      <c r="V807" s="152"/>
      <c r="W807" s="152"/>
      <c r="X807" s="152"/>
      <c r="Y807" s="149"/>
    </row>
    <row r="808" spans="3:25" s="151" customFormat="1" ht="12.75">
      <c r="C808" s="152"/>
      <c r="D808" s="152"/>
      <c r="E808" s="149"/>
      <c r="F808" s="152"/>
      <c r="G808" s="152"/>
      <c r="H808" s="152"/>
      <c r="I808" s="152"/>
      <c r="J808" s="156"/>
      <c r="K808" s="156"/>
      <c r="L808" s="156"/>
      <c r="M808" s="156"/>
      <c r="N808" s="156"/>
      <c r="O808" s="156"/>
      <c r="P808" s="156"/>
      <c r="Q808" s="152"/>
      <c r="R808" s="152"/>
      <c r="S808" s="152"/>
      <c r="T808" s="152"/>
      <c r="U808" s="152"/>
      <c r="V808" s="152"/>
      <c r="W808" s="152"/>
      <c r="X808" s="152"/>
      <c r="Y808" s="149"/>
    </row>
    <row r="809" spans="3:25" s="151" customFormat="1" ht="12.75">
      <c r="C809" s="152"/>
      <c r="D809" s="152"/>
      <c r="E809" s="149"/>
      <c r="F809" s="152"/>
      <c r="G809" s="152"/>
      <c r="H809" s="152"/>
      <c r="I809" s="152"/>
      <c r="J809" s="156"/>
      <c r="K809" s="156"/>
      <c r="L809" s="156"/>
      <c r="M809" s="156"/>
      <c r="N809" s="156"/>
      <c r="O809" s="156"/>
      <c r="P809" s="156"/>
      <c r="Q809" s="152"/>
      <c r="R809" s="152"/>
      <c r="S809" s="152"/>
      <c r="T809" s="152"/>
      <c r="U809" s="152"/>
      <c r="V809" s="152"/>
      <c r="W809" s="152"/>
      <c r="X809" s="152"/>
      <c r="Y809" s="149"/>
    </row>
    <row r="810" spans="3:25" s="151" customFormat="1" ht="12.75">
      <c r="C810" s="152"/>
      <c r="D810" s="152"/>
      <c r="E810" s="149"/>
      <c r="F810" s="152"/>
      <c r="G810" s="152"/>
      <c r="H810" s="152"/>
      <c r="I810" s="152"/>
      <c r="J810" s="156"/>
      <c r="K810" s="156"/>
      <c r="L810" s="156"/>
      <c r="M810" s="156"/>
      <c r="N810" s="156"/>
      <c r="O810" s="156"/>
      <c r="P810" s="156"/>
      <c r="Q810" s="152"/>
      <c r="R810" s="152"/>
      <c r="S810" s="152"/>
      <c r="T810" s="152"/>
      <c r="U810" s="152"/>
      <c r="V810" s="152"/>
      <c r="W810" s="152"/>
      <c r="X810" s="152"/>
      <c r="Y810" s="149"/>
    </row>
    <row r="811" spans="3:25" s="151" customFormat="1" ht="12.75">
      <c r="C811" s="152"/>
      <c r="D811" s="152"/>
      <c r="E811" s="149"/>
      <c r="F811" s="152"/>
      <c r="G811" s="152"/>
      <c r="H811" s="152"/>
      <c r="I811" s="152"/>
      <c r="J811" s="156"/>
      <c r="K811" s="156"/>
      <c r="L811" s="156"/>
      <c r="M811" s="156"/>
      <c r="N811" s="156"/>
      <c r="O811" s="156"/>
      <c r="P811" s="156"/>
      <c r="Q811" s="152"/>
      <c r="R811" s="152"/>
      <c r="S811" s="152"/>
      <c r="T811" s="152"/>
      <c r="U811" s="152"/>
      <c r="V811" s="152"/>
      <c r="W811" s="152"/>
      <c r="X811" s="152"/>
      <c r="Y811" s="149"/>
    </row>
    <row r="812" spans="3:25" s="151" customFormat="1" ht="12.75">
      <c r="C812" s="152"/>
      <c r="D812" s="152"/>
      <c r="E812" s="149"/>
      <c r="F812" s="152"/>
      <c r="G812" s="152"/>
      <c r="H812" s="152"/>
      <c r="I812" s="152"/>
      <c r="J812" s="156"/>
      <c r="K812" s="156"/>
      <c r="L812" s="156"/>
      <c r="M812" s="156"/>
      <c r="N812" s="156"/>
      <c r="O812" s="156"/>
      <c r="P812" s="156"/>
      <c r="Q812" s="152"/>
      <c r="R812" s="152"/>
      <c r="S812" s="152"/>
      <c r="T812" s="152"/>
      <c r="U812" s="152"/>
      <c r="V812" s="152"/>
      <c r="W812" s="152"/>
      <c r="X812" s="152"/>
      <c r="Y812" s="149"/>
    </row>
    <row r="813" spans="3:25" s="151" customFormat="1" ht="12.75">
      <c r="C813" s="152"/>
      <c r="D813" s="152"/>
      <c r="E813" s="149"/>
      <c r="F813" s="152"/>
      <c r="G813" s="152"/>
      <c r="H813" s="152"/>
      <c r="I813" s="152"/>
      <c r="J813" s="156"/>
      <c r="K813" s="156"/>
      <c r="L813" s="156"/>
      <c r="M813" s="156"/>
      <c r="N813" s="156"/>
      <c r="O813" s="156"/>
      <c r="P813" s="156"/>
      <c r="Q813" s="152"/>
      <c r="R813" s="152"/>
      <c r="S813" s="152"/>
      <c r="T813" s="152"/>
      <c r="U813" s="152"/>
      <c r="V813" s="152"/>
      <c r="W813" s="152"/>
      <c r="X813" s="152"/>
      <c r="Y813" s="149"/>
    </row>
    <row r="814" spans="3:25" s="151" customFormat="1" ht="12.75">
      <c r="C814" s="152"/>
      <c r="D814" s="152"/>
      <c r="E814" s="149"/>
      <c r="F814" s="152"/>
      <c r="G814" s="152"/>
      <c r="H814" s="152"/>
      <c r="I814" s="152"/>
      <c r="J814" s="156"/>
      <c r="K814" s="156"/>
      <c r="L814" s="156"/>
      <c r="M814" s="156"/>
      <c r="N814" s="156"/>
      <c r="O814" s="156"/>
      <c r="P814" s="156"/>
      <c r="Q814" s="152"/>
      <c r="R814" s="152"/>
      <c r="S814" s="152"/>
      <c r="T814" s="152"/>
      <c r="U814" s="152"/>
      <c r="V814" s="152"/>
      <c r="W814" s="152"/>
      <c r="X814" s="152"/>
      <c r="Y814" s="149"/>
    </row>
    <row r="815" spans="3:25" s="151" customFormat="1" ht="12.75">
      <c r="C815" s="152"/>
      <c r="D815" s="152"/>
      <c r="E815" s="149"/>
      <c r="F815" s="152"/>
      <c r="G815" s="152"/>
      <c r="H815" s="152"/>
      <c r="I815" s="152"/>
      <c r="J815" s="156"/>
      <c r="K815" s="156"/>
      <c r="L815" s="156"/>
      <c r="M815" s="156"/>
      <c r="N815" s="156"/>
      <c r="O815" s="156"/>
      <c r="P815" s="156"/>
      <c r="Q815" s="152"/>
      <c r="R815" s="152"/>
      <c r="S815" s="152"/>
      <c r="T815" s="152"/>
      <c r="U815" s="152"/>
      <c r="V815" s="152"/>
      <c r="W815" s="152"/>
      <c r="X815" s="152"/>
      <c r="Y815" s="149"/>
    </row>
    <row r="816" spans="3:25" s="151" customFormat="1" ht="12.75">
      <c r="C816" s="152"/>
      <c r="D816" s="152"/>
      <c r="E816" s="149"/>
      <c r="F816" s="152"/>
      <c r="G816" s="152"/>
      <c r="H816" s="152"/>
      <c r="I816" s="152"/>
      <c r="J816" s="156"/>
      <c r="K816" s="156"/>
      <c r="L816" s="156"/>
      <c r="M816" s="156"/>
      <c r="N816" s="156"/>
      <c r="O816" s="156"/>
      <c r="P816" s="156"/>
      <c r="Q816" s="152"/>
      <c r="R816" s="152"/>
      <c r="S816" s="152"/>
      <c r="T816" s="152"/>
      <c r="U816" s="152"/>
      <c r="V816" s="152"/>
      <c r="W816" s="152"/>
      <c r="X816" s="152"/>
      <c r="Y816" s="149"/>
    </row>
    <row r="817" spans="3:25" s="151" customFormat="1" ht="12.75">
      <c r="C817" s="152"/>
      <c r="D817" s="152"/>
      <c r="E817" s="149"/>
      <c r="F817" s="152"/>
      <c r="G817" s="152"/>
      <c r="H817" s="152"/>
      <c r="I817" s="152"/>
      <c r="J817" s="156"/>
      <c r="K817" s="156"/>
      <c r="L817" s="156"/>
      <c r="M817" s="156"/>
      <c r="N817" s="156"/>
      <c r="O817" s="156"/>
      <c r="P817" s="156"/>
      <c r="Q817" s="152"/>
      <c r="R817" s="152"/>
      <c r="S817" s="152"/>
      <c r="T817" s="152"/>
      <c r="U817" s="152"/>
      <c r="V817" s="152"/>
      <c r="W817" s="152"/>
      <c r="X817" s="152"/>
      <c r="Y817" s="149"/>
    </row>
    <row r="818" spans="3:25" s="151" customFormat="1" ht="12.75">
      <c r="C818" s="152"/>
      <c r="D818" s="152"/>
      <c r="E818" s="149"/>
      <c r="F818" s="152"/>
      <c r="G818" s="152"/>
      <c r="H818" s="152"/>
      <c r="I818" s="152"/>
      <c r="J818" s="156"/>
      <c r="K818" s="156"/>
      <c r="L818" s="156"/>
      <c r="M818" s="156"/>
      <c r="N818" s="156"/>
      <c r="O818" s="156"/>
      <c r="P818" s="156"/>
      <c r="Q818" s="152"/>
      <c r="R818" s="152"/>
      <c r="S818" s="152"/>
      <c r="T818" s="152"/>
      <c r="U818" s="152"/>
      <c r="V818" s="152"/>
      <c r="W818" s="152"/>
      <c r="X818" s="152"/>
      <c r="Y818" s="149"/>
    </row>
    <row r="819" spans="3:25" s="151" customFormat="1" ht="12.75">
      <c r="C819" s="152"/>
      <c r="D819" s="152"/>
      <c r="E819" s="149"/>
      <c r="F819" s="152"/>
      <c r="G819" s="152"/>
      <c r="H819" s="152"/>
      <c r="I819" s="152"/>
      <c r="J819" s="156"/>
      <c r="K819" s="156"/>
      <c r="L819" s="156"/>
      <c r="M819" s="156"/>
      <c r="N819" s="156"/>
      <c r="O819" s="156"/>
      <c r="P819" s="156"/>
      <c r="Q819" s="152"/>
      <c r="R819" s="152"/>
      <c r="S819" s="152"/>
      <c r="T819" s="152"/>
      <c r="U819" s="152"/>
      <c r="V819" s="152"/>
      <c r="W819" s="152"/>
      <c r="X819" s="152"/>
      <c r="Y819" s="149"/>
    </row>
    <row r="820" spans="3:25" s="151" customFormat="1" ht="12.75">
      <c r="C820" s="152"/>
      <c r="D820" s="152"/>
      <c r="E820" s="149"/>
      <c r="F820" s="152"/>
      <c r="G820" s="152"/>
      <c r="H820" s="152"/>
      <c r="I820" s="152"/>
      <c r="J820" s="156"/>
      <c r="K820" s="156"/>
      <c r="L820" s="156"/>
      <c r="M820" s="156"/>
      <c r="N820" s="156"/>
      <c r="O820" s="156"/>
      <c r="P820" s="156"/>
      <c r="Q820" s="152"/>
      <c r="R820" s="152"/>
      <c r="S820" s="152"/>
      <c r="T820" s="152"/>
      <c r="U820" s="152"/>
      <c r="V820" s="152"/>
      <c r="W820" s="152"/>
      <c r="X820" s="152"/>
      <c r="Y820" s="149"/>
    </row>
    <row r="821" spans="3:25" s="151" customFormat="1" ht="12.75">
      <c r="C821" s="152"/>
      <c r="D821" s="152"/>
      <c r="E821" s="149"/>
      <c r="F821" s="152"/>
      <c r="G821" s="152"/>
      <c r="H821" s="152"/>
      <c r="I821" s="152"/>
      <c r="J821" s="156"/>
      <c r="K821" s="156"/>
      <c r="L821" s="156"/>
      <c r="M821" s="156"/>
      <c r="N821" s="156"/>
      <c r="O821" s="156"/>
      <c r="P821" s="156"/>
      <c r="Q821" s="152"/>
      <c r="R821" s="152"/>
      <c r="S821" s="152"/>
      <c r="T821" s="152"/>
      <c r="U821" s="152"/>
      <c r="V821" s="152"/>
      <c r="W821" s="152"/>
      <c r="X821" s="152"/>
      <c r="Y821" s="149"/>
    </row>
    <row r="822" spans="3:25" s="151" customFormat="1" ht="12.75">
      <c r="C822" s="152"/>
      <c r="D822" s="152"/>
      <c r="E822" s="149"/>
      <c r="F822" s="152"/>
      <c r="G822" s="152"/>
      <c r="H822" s="152"/>
      <c r="I822" s="152"/>
      <c r="J822" s="156"/>
      <c r="K822" s="156"/>
      <c r="L822" s="156"/>
      <c r="M822" s="156"/>
      <c r="N822" s="156"/>
      <c r="O822" s="156"/>
      <c r="P822" s="156"/>
      <c r="Q822" s="152"/>
      <c r="R822" s="152"/>
      <c r="S822" s="152"/>
      <c r="T822" s="152"/>
      <c r="U822" s="152"/>
      <c r="V822" s="152"/>
      <c r="W822" s="152"/>
      <c r="X822" s="152"/>
      <c r="Y822" s="149"/>
    </row>
    <row r="823" spans="3:25" s="151" customFormat="1" ht="12.75">
      <c r="C823" s="152"/>
      <c r="D823" s="152"/>
      <c r="E823" s="149"/>
      <c r="F823" s="152"/>
      <c r="G823" s="152"/>
      <c r="H823" s="152"/>
      <c r="I823" s="152"/>
      <c r="J823" s="156"/>
      <c r="K823" s="156"/>
      <c r="L823" s="156"/>
      <c r="M823" s="156"/>
      <c r="N823" s="156"/>
      <c r="O823" s="156"/>
      <c r="P823" s="156"/>
      <c r="Q823" s="152"/>
      <c r="R823" s="152"/>
      <c r="S823" s="152"/>
      <c r="T823" s="152"/>
      <c r="U823" s="152"/>
      <c r="V823" s="152"/>
      <c r="W823" s="152"/>
      <c r="X823" s="152"/>
      <c r="Y823" s="149"/>
    </row>
    <row r="824" spans="3:25" s="151" customFormat="1" ht="12.75">
      <c r="C824" s="152"/>
      <c r="D824" s="152"/>
      <c r="E824" s="149"/>
      <c r="F824" s="152"/>
      <c r="G824" s="152"/>
      <c r="H824" s="152"/>
      <c r="I824" s="152"/>
      <c r="J824" s="156"/>
      <c r="K824" s="156"/>
      <c r="L824" s="156"/>
      <c r="M824" s="156"/>
      <c r="N824" s="156"/>
      <c r="O824" s="156"/>
      <c r="P824" s="156"/>
      <c r="Q824" s="152"/>
      <c r="R824" s="152"/>
      <c r="S824" s="152"/>
      <c r="T824" s="152"/>
      <c r="U824" s="152"/>
      <c r="V824" s="152"/>
      <c r="W824" s="152"/>
      <c r="X824" s="152"/>
      <c r="Y824" s="149"/>
    </row>
    <row r="825" spans="3:25" s="151" customFormat="1" ht="12.75">
      <c r="C825" s="152"/>
      <c r="D825" s="152"/>
      <c r="E825" s="149"/>
      <c r="F825" s="152"/>
      <c r="G825" s="152"/>
      <c r="H825" s="152"/>
      <c r="I825" s="152"/>
      <c r="J825" s="156"/>
      <c r="K825" s="156"/>
      <c r="L825" s="156"/>
      <c r="M825" s="156"/>
      <c r="N825" s="156"/>
      <c r="O825" s="156"/>
      <c r="P825" s="156"/>
      <c r="Q825" s="152"/>
      <c r="R825" s="152"/>
      <c r="S825" s="152"/>
      <c r="T825" s="152"/>
      <c r="U825" s="152"/>
      <c r="V825" s="152"/>
      <c r="W825" s="152"/>
      <c r="X825" s="152"/>
      <c r="Y825" s="149"/>
    </row>
    <row r="826" spans="3:25" s="151" customFormat="1" ht="12.75">
      <c r="C826" s="152"/>
      <c r="D826" s="152"/>
      <c r="E826" s="149"/>
      <c r="F826" s="152"/>
      <c r="G826" s="152"/>
      <c r="H826" s="152"/>
      <c r="I826" s="152"/>
      <c r="J826" s="156"/>
      <c r="K826" s="156"/>
      <c r="L826" s="156"/>
      <c r="M826" s="156"/>
      <c r="N826" s="156"/>
      <c r="O826" s="156"/>
      <c r="P826" s="156"/>
      <c r="Q826" s="152"/>
      <c r="R826" s="152"/>
      <c r="S826" s="152"/>
      <c r="T826" s="152"/>
      <c r="U826" s="152"/>
      <c r="V826" s="152"/>
      <c r="W826" s="152"/>
      <c r="X826" s="152"/>
      <c r="Y826" s="149"/>
    </row>
    <row r="827" spans="3:25" s="151" customFormat="1" ht="12.75">
      <c r="C827" s="152"/>
      <c r="D827" s="152"/>
      <c r="E827" s="149"/>
      <c r="F827" s="152"/>
      <c r="G827" s="152"/>
      <c r="H827" s="152"/>
      <c r="I827" s="152"/>
      <c r="J827" s="156"/>
      <c r="K827" s="156"/>
      <c r="L827" s="156"/>
      <c r="M827" s="156"/>
      <c r="N827" s="156"/>
      <c r="O827" s="156"/>
      <c r="P827" s="156"/>
      <c r="Q827" s="152"/>
      <c r="R827" s="152"/>
      <c r="S827" s="152"/>
      <c r="T827" s="152"/>
      <c r="U827" s="152"/>
      <c r="V827" s="152"/>
      <c r="W827" s="152"/>
      <c r="X827" s="152"/>
      <c r="Y827" s="149"/>
    </row>
    <row r="828" spans="3:25" s="151" customFormat="1" ht="12.75">
      <c r="C828" s="152"/>
      <c r="D828" s="152"/>
      <c r="E828" s="149"/>
      <c r="F828" s="152"/>
      <c r="G828" s="152"/>
      <c r="H828" s="152"/>
      <c r="I828" s="152"/>
      <c r="J828" s="156"/>
      <c r="K828" s="156"/>
      <c r="L828" s="156"/>
      <c r="M828" s="156"/>
      <c r="N828" s="156"/>
      <c r="O828" s="156"/>
      <c r="P828" s="156"/>
      <c r="Q828" s="152"/>
      <c r="R828" s="152"/>
      <c r="S828" s="152"/>
      <c r="T828" s="152"/>
      <c r="U828" s="152"/>
      <c r="V828" s="152"/>
      <c r="W828" s="152"/>
      <c r="X828" s="152"/>
      <c r="Y828" s="149"/>
    </row>
    <row r="829" spans="3:25" s="151" customFormat="1" ht="12.75">
      <c r="C829" s="152"/>
      <c r="D829" s="152"/>
      <c r="E829" s="149"/>
      <c r="F829" s="152"/>
      <c r="G829" s="152"/>
      <c r="H829" s="152"/>
      <c r="I829" s="152"/>
      <c r="J829" s="156"/>
      <c r="K829" s="156"/>
      <c r="L829" s="156"/>
      <c r="M829" s="156"/>
      <c r="N829" s="156"/>
      <c r="O829" s="156"/>
      <c r="P829" s="156"/>
      <c r="Q829" s="152"/>
      <c r="R829" s="152"/>
      <c r="S829" s="152"/>
      <c r="T829" s="152"/>
      <c r="U829" s="152"/>
      <c r="V829" s="152"/>
      <c r="W829" s="152"/>
      <c r="X829" s="152"/>
      <c r="Y829" s="149"/>
    </row>
    <row r="830" spans="3:25" s="151" customFormat="1" ht="12.75">
      <c r="C830" s="152"/>
      <c r="D830" s="152"/>
      <c r="E830" s="149"/>
      <c r="F830" s="152"/>
      <c r="G830" s="152"/>
      <c r="H830" s="152"/>
      <c r="I830" s="152"/>
      <c r="J830" s="156"/>
      <c r="K830" s="156"/>
      <c r="L830" s="156"/>
      <c r="M830" s="156"/>
      <c r="N830" s="156"/>
      <c r="O830" s="156"/>
      <c r="P830" s="156"/>
      <c r="Q830" s="152"/>
      <c r="R830" s="152"/>
      <c r="S830" s="152"/>
      <c r="T830" s="152"/>
      <c r="U830" s="152"/>
      <c r="V830" s="152"/>
      <c r="W830" s="152"/>
      <c r="X830" s="152"/>
      <c r="Y830" s="149"/>
    </row>
    <row r="831" spans="3:25" s="151" customFormat="1" ht="12.75">
      <c r="C831" s="152"/>
      <c r="D831" s="152"/>
      <c r="E831" s="149"/>
      <c r="F831" s="152"/>
      <c r="G831" s="152"/>
      <c r="H831" s="152"/>
      <c r="I831" s="152"/>
      <c r="J831" s="156"/>
      <c r="K831" s="156"/>
      <c r="L831" s="156"/>
      <c r="M831" s="156"/>
      <c r="N831" s="156"/>
      <c r="O831" s="156"/>
      <c r="P831" s="156"/>
      <c r="Q831" s="152"/>
      <c r="R831" s="152"/>
      <c r="S831" s="152"/>
      <c r="T831" s="152"/>
      <c r="U831" s="152"/>
      <c r="V831" s="152"/>
      <c r="W831" s="152"/>
      <c r="X831" s="152"/>
      <c r="Y831" s="149"/>
    </row>
    <row r="832" spans="3:25" s="151" customFormat="1" ht="12.75">
      <c r="C832" s="152"/>
      <c r="D832" s="152"/>
      <c r="E832" s="149"/>
      <c r="F832" s="152"/>
      <c r="G832" s="152"/>
      <c r="H832" s="152"/>
      <c r="I832" s="152"/>
      <c r="J832" s="156"/>
      <c r="K832" s="156"/>
      <c r="L832" s="156"/>
      <c r="M832" s="156"/>
      <c r="N832" s="156"/>
      <c r="O832" s="156"/>
      <c r="P832" s="156"/>
      <c r="Q832" s="152"/>
      <c r="R832" s="152"/>
      <c r="S832" s="152"/>
      <c r="T832" s="152"/>
      <c r="U832" s="152"/>
      <c r="V832" s="152"/>
      <c r="W832" s="152"/>
      <c r="X832" s="152"/>
      <c r="Y832" s="149"/>
    </row>
    <row r="833" spans="3:25" s="151" customFormat="1" ht="12.75">
      <c r="C833" s="152"/>
      <c r="D833" s="152"/>
      <c r="E833" s="149"/>
      <c r="F833" s="152"/>
      <c r="G833" s="152"/>
      <c r="H833" s="152"/>
      <c r="I833" s="152"/>
      <c r="J833" s="156"/>
      <c r="K833" s="156"/>
      <c r="L833" s="156"/>
      <c r="M833" s="156"/>
      <c r="N833" s="156"/>
      <c r="O833" s="156"/>
      <c r="P833" s="156"/>
      <c r="Q833" s="152"/>
      <c r="R833" s="152"/>
      <c r="S833" s="152"/>
      <c r="T833" s="152"/>
      <c r="U833" s="152"/>
      <c r="V833" s="152"/>
      <c r="W833" s="152"/>
      <c r="X833" s="152"/>
      <c r="Y833" s="149"/>
    </row>
    <row r="834" spans="3:25" s="151" customFormat="1" ht="12.75">
      <c r="C834" s="152"/>
      <c r="D834" s="152"/>
      <c r="E834" s="149"/>
      <c r="F834" s="152"/>
      <c r="G834" s="152"/>
      <c r="H834" s="152"/>
      <c r="I834" s="152"/>
      <c r="J834" s="156"/>
      <c r="K834" s="156"/>
      <c r="L834" s="156"/>
      <c r="M834" s="156"/>
      <c r="N834" s="156"/>
      <c r="O834" s="156"/>
      <c r="P834" s="156"/>
      <c r="Q834" s="152"/>
      <c r="R834" s="152"/>
      <c r="S834" s="152"/>
      <c r="T834" s="152"/>
      <c r="U834" s="152"/>
      <c r="V834" s="152"/>
      <c r="W834" s="152"/>
      <c r="X834" s="152"/>
      <c r="Y834" s="149"/>
    </row>
    <row r="835" spans="3:25" s="151" customFormat="1" ht="12.75">
      <c r="C835" s="152"/>
      <c r="D835" s="152"/>
      <c r="E835" s="149"/>
      <c r="F835" s="152"/>
      <c r="G835" s="152"/>
      <c r="H835" s="152"/>
      <c r="I835" s="152"/>
      <c r="J835" s="156"/>
      <c r="K835" s="156"/>
      <c r="L835" s="156"/>
      <c r="M835" s="156"/>
      <c r="N835" s="156"/>
      <c r="O835" s="156"/>
      <c r="P835" s="156"/>
      <c r="Q835" s="152"/>
      <c r="R835" s="152"/>
      <c r="S835" s="152"/>
      <c r="T835" s="152"/>
      <c r="U835" s="152"/>
      <c r="V835" s="152"/>
      <c r="W835" s="152"/>
      <c r="X835" s="152"/>
      <c r="Y835" s="149"/>
    </row>
    <row r="836" spans="3:25" s="151" customFormat="1" ht="12.75">
      <c r="C836" s="152"/>
      <c r="D836" s="152"/>
      <c r="E836" s="149"/>
      <c r="F836" s="152"/>
      <c r="G836" s="152"/>
      <c r="H836" s="152"/>
      <c r="I836" s="152"/>
      <c r="J836" s="156"/>
      <c r="K836" s="156"/>
      <c r="L836" s="156"/>
      <c r="M836" s="156"/>
      <c r="N836" s="156"/>
      <c r="O836" s="156"/>
      <c r="P836" s="156"/>
      <c r="Q836" s="152"/>
      <c r="R836" s="152"/>
      <c r="S836" s="152"/>
      <c r="T836" s="152"/>
      <c r="U836" s="152"/>
      <c r="V836" s="152"/>
      <c r="W836" s="152"/>
      <c r="X836" s="152"/>
      <c r="Y836" s="149"/>
    </row>
    <row r="837" spans="3:25" s="151" customFormat="1" ht="12.75">
      <c r="C837" s="152"/>
      <c r="D837" s="152"/>
      <c r="E837" s="149"/>
      <c r="F837" s="152"/>
      <c r="G837" s="152"/>
      <c r="H837" s="152"/>
      <c r="I837" s="152"/>
      <c r="J837" s="156"/>
      <c r="K837" s="156"/>
      <c r="L837" s="156"/>
      <c r="M837" s="156"/>
      <c r="N837" s="156"/>
      <c r="O837" s="156"/>
      <c r="P837" s="156"/>
      <c r="Q837" s="152"/>
      <c r="R837" s="152"/>
      <c r="S837" s="152"/>
      <c r="T837" s="152"/>
      <c r="U837" s="152"/>
      <c r="V837" s="152"/>
      <c r="W837" s="152"/>
      <c r="X837" s="152"/>
      <c r="Y837" s="149"/>
    </row>
    <row r="838" spans="3:25" s="151" customFormat="1" ht="12.75">
      <c r="C838" s="152"/>
      <c r="D838" s="152"/>
      <c r="E838" s="149"/>
      <c r="F838" s="152"/>
      <c r="G838" s="152"/>
      <c r="H838" s="152"/>
      <c r="I838" s="152"/>
      <c r="J838" s="156"/>
      <c r="K838" s="156"/>
      <c r="L838" s="156"/>
      <c r="M838" s="156"/>
      <c r="N838" s="156"/>
      <c r="O838" s="156"/>
      <c r="P838" s="156"/>
      <c r="Q838" s="152"/>
      <c r="R838" s="152"/>
      <c r="S838" s="152"/>
      <c r="T838" s="152"/>
      <c r="U838" s="152"/>
      <c r="V838" s="152"/>
      <c r="W838" s="152"/>
      <c r="X838" s="152"/>
      <c r="Y838" s="149"/>
    </row>
    <row r="839" spans="3:25" s="151" customFormat="1" ht="12.75">
      <c r="C839" s="152"/>
      <c r="D839" s="152"/>
      <c r="E839" s="149"/>
      <c r="F839" s="152"/>
      <c r="G839" s="152"/>
      <c r="H839" s="152"/>
      <c r="I839" s="152"/>
      <c r="J839" s="156"/>
      <c r="K839" s="156"/>
      <c r="L839" s="156"/>
      <c r="M839" s="156"/>
      <c r="N839" s="156"/>
      <c r="O839" s="156"/>
      <c r="P839" s="156"/>
      <c r="Q839" s="152"/>
      <c r="R839" s="152"/>
      <c r="S839" s="152"/>
      <c r="T839" s="152"/>
      <c r="U839" s="152"/>
      <c r="V839" s="152"/>
      <c r="W839" s="152"/>
      <c r="X839" s="152"/>
      <c r="Y839" s="149"/>
    </row>
    <row r="840" spans="3:25" s="151" customFormat="1" ht="12.75">
      <c r="C840" s="152"/>
      <c r="D840" s="152"/>
      <c r="E840" s="149"/>
      <c r="F840" s="152"/>
      <c r="G840" s="152"/>
      <c r="H840" s="152"/>
      <c r="I840" s="152"/>
      <c r="J840" s="156"/>
      <c r="K840" s="156"/>
      <c r="L840" s="156"/>
      <c r="M840" s="156"/>
      <c r="N840" s="156"/>
      <c r="O840" s="156"/>
      <c r="P840" s="156"/>
      <c r="Q840" s="152"/>
      <c r="R840" s="152"/>
      <c r="S840" s="152"/>
      <c r="T840" s="152"/>
      <c r="U840" s="152"/>
      <c r="V840" s="152"/>
      <c r="W840" s="152"/>
      <c r="X840" s="152"/>
      <c r="Y840" s="149"/>
    </row>
    <row r="841" spans="3:25" s="151" customFormat="1" ht="12.75">
      <c r="C841" s="152"/>
      <c r="D841" s="152"/>
      <c r="E841" s="149"/>
      <c r="F841" s="152"/>
      <c r="G841" s="152"/>
      <c r="H841" s="152"/>
      <c r="I841" s="152"/>
      <c r="J841" s="156"/>
      <c r="K841" s="156"/>
      <c r="L841" s="156"/>
      <c r="M841" s="156"/>
      <c r="N841" s="156"/>
      <c r="O841" s="156"/>
      <c r="P841" s="156"/>
      <c r="Q841" s="152"/>
      <c r="R841" s="152"/>
      <c r="S841" s="152"/>
      <c r="T841" s="152"/>
      <c r="U841" s="152"/>
      <c r="V841" s="152"/>
      <c r="W841" s="152"/>
      <c r="X841" s="152"/>
      <c r="Y841" s="149"/>
    </row>
    <row r="842" spans="3:25" s="151" customFormat="1" ht="12.75">
      <c r="C842" s="152"/>
      <c r="D842" s="152"/>
      <c r="E842" s="149"/>
      <c r="F842" s="152"/>
      <c r="G842" s="152"/>
      <c r="H842" s="152"/>
      <c r="I842" s="152"/>
      <c r="J842" s="156"/>
      <c r="K842" s="156"/>
      <c r="L842" s="156"/>
      <c r="M842" s="156"/>
      <c r="N842" s="156"/>
      <c r="O842" s="156"/>
      <c r="P842" s="156"/>
      <c r="Q842" s="152"/>
      <c r="R842" s="152"/>
      <c r="S842" s="152"/>
      <c r="T842" s="152"/>
      <c r="U842" s="152"/>
      <c r="V842" s="152"/>
      <c r="W842" s="152"/>
      <c r="X842" s="152"/>
      <c r="Y842" s="149"/>
    </row>
    <row r="843" spans="3:25" s="151" customFormat="1" ht="12.75">
      <c r="C843" s="152"/>
      <c r="D843" s="152"/>
      <c r="E843" s="149"/>
      <c r="F843" s="152"/>
      <c r="G843" s="152"/>
      <c r="H843" s="152"/>
      <c r="I843" s="152"/>
      <c r="J843" s="156"/>
      <c r="K843" s="156"/>
      <c r="L843" s="156"/>
      <c r="M843" s="156"/>
      <c r="N843" s="156"/>
      <c r="O843" s="156"/>
      <c r="P843" s="156"/>
      <c r="Q843" s="152"/>
      <c r="R843" s="152"/>
      <c r="S843" s="152"/>
      <c r="T843" s="152"/>
      <c r="U843" s="152"/>
      <c r="V843" s="152"/>
      <c r="W843" s="152"/>
      <c r="X843" s="152"/>
      <c r="Y843" s="149"/>
    </row>
    <row r="844" spans="3:25" s="151" customFormat="1" ht="12.75">
      <c r="C844" s="152"/>
      <c r="D844" s="152"/>
      <c r="E844" s="149"/>
      <c r="F844" s="152"/>
      <c r="G844" s="152"/>
      <c r="H844" s="152"/>
      <c r="I844" s="152"/>
      <c r="J844" s="156"/>
      <c r="K844" s="156"/>
      <c r="L844" s="156"/>
      <c r="M844" s="156"/>
      <c r="N844" s="156"/>
      <c r="O844" s="156"/>
      <c r="P844" s="156"/>
      <c r="Q844" s="152"/>
      <c r="R844" s="152"/>
      <c r="S844" s="152"/>
      <c r="T844" s="152"/>
      <c r="U844" s="152"/>
      <c r="V844" s="152"/>
      <c r="W844" s="152"/>
      <c r="X844" s="152"/>
      <c r="Y844" s="149"/>
    </row>
    <row r="845" spans="3:25" s="151" customFormat="1" ht="12.75">
      <c r="C845" s="152"/>
      <c r="D845" s="152"/>
      <c r="E845" s="149"/>
      <c r="F845" s="152"/>
      <c r="G845" s="152"/>
      <c r="H845" s="152"/>
      <c r="I845" s="152"/>
      <c r="J845" s="156"/>
      <c r="K845" s="156"/>
      <c r="L845" s="156"/>
      <c r="M845" s="156"/>
      <c r="N845" s="156"/>
      <c r="O845" s="156"/>
      <c r="P845" s="156"/>
      <c r="Q845" s="152"/>
      <c r="R845" s="152"/>
      <c r="S845" s="152"/>
      <c r="T845" s="152"/>
      <c r="U845" s="152"/>
      <c r="V845" s="152"/>
      <c r="W845" s="152"/>
      <c r="X845" s="152"/>
      <c r="Y845" s="149"/>
    </row>
    <row r="846" spans="3:25" s="151" customFormat="1" ht="12.75">
      <c r="C846" s="152"/>
      <c r="D846" s="152"/>
      <c r="E846" s="149"/>
      <c r="F846" s="152"/>
      <c r="G846" s="152"/>
      <c r="H846" s="152"/>
      <c r="I846" s="152"/>
      <c r="J846" s="156"/>
      <c r="K846" s="156"/>
      <c r="L846" s="156"/>
      <c r="M846" s="156"/>
      <c r="N846" s="156"/>
      <c r="O846" s="156"/>
      <c r="P846" s="156"/>
      <c r="Q846" s="152"/>
      <c r="R846" s="152"/>
      <c r="S846" s="152"/>
      <c r="T846" s="152"/>
      <c r="U846" s="152"/>
      <c r="V846" s="152"/>
      <c r="W846" s="152"/>
      <c r="X846" s="152"/>
      <c r="Y846" s="149"/>
    </row>
    <row r="847" spans="3:25" s="151" customFormat="1" ht="12.75">
      <c r="C847" s="152"/>
      <c r="D847" s="152"/>
      <c r="E847" s="149"/>
      <c r="F847" s="152"/>
      <c r="G847" s="152"/>
      <c r="H847" s="152"/>
      <c r="I847" s="152"/>
      <c r="J847" s="156"/>
      <c r="K847" s="156"/>
      <c r="L847" s="156"/>
      <c r="M847" s="156"/>
      <c r="N847" s="156"/>
      <c r="O847" s="156"/>
      <c r="P847" s="156"/>
      <c r="Q847" s="152"/>
      <c r="R847" s="152"/>
      <c r="S847" s="152"/>
      <c r="T847" s="152"/>
      <c r="U847" s="152"/>
      <c r="V847" s="152"/>
      <c r="W847" s="152"/>
      <c r="X847" s="152"/>
      <c r="Y847" s="149"/>
    </row>
    <row r="848" spans="3:25" s="151" customFormat="1" ht="12.75">
      <c r="C848" s="152"/>
      <c r="D848" s="152"/>
      <c r="E848" s="149"/>
      <c r="F848" s="152"/>
      <c r="G848" s="152"/>
      <c r="H848" s="152"/>
      <c r="I848" s="152"/>
      <c r="J848" s="156"/>
      <c r="K848" s="156"/>
      <c r="L848" s="156"/>
      <c r="M848" s="156"/>
      <c r="N848" s="156"/>
      <c r="O848" s="156"/>
      <c r="P848" s="156"/>
      <c r="Q848" s="152"/>
      <c r="R848" s="152"/>
      <c r="S848" s="152"/>
      <c r="T848" s="152"/>
      <c r="U848" s="152"/>
      <c r="V848" s="152"/>
      <c r="W848" s="152"/>
      <c r="X848" s="152"/>
      <c r="Y848" s="149"/>
    </row>
    <row r="849" spans="3:25" s="151" customFormat="1" ht="12.75">
      <c r="C849" s="152"/>
      <c r="D849" s="152"/>
      <c r="E849" s="149"/>
      <c r="F849" s="152"/>
      <c r="G849" s="152"/>
      <c r="H849" s="152"/>
      <c r="I849" s="152"/>
      <c r="J849" s="156"/>
      <c r="K849" s="156"/>
      <c r="L849" s="156"/>
      <c r="M849" s="156"/>
      <c r="N849" s="156"/>
      <c r="O849" s="156"/>
      <c r="P849" s="156"/>
      <c r="Q849" s="152"/>
      <c r="R849" s="152"/>
      <c r="S849" s="152"/>
      <c r="T849" s="152"/>
      <c r="U849" s="152"/>
      <c r="V849" s="152"/>
      <c r="W849" s="152"/>
      <c r="X849" s="152"/>
      <c r="Y849" s="149"/>
    </row>
    <row r="850" spans="3:25" s="151" customFormat="1" ht="12.75">
      <c r="C850" s="152"/>
      <c r="D850" s="152"/>
      <c r="E850" s="149"/>
      <c r="F850" s="152"/>
      <c r="G850" s="152"/>
      <c r="H850" s="152"/>
      <c r="I850" s="152"/>
      <c r="J850" s="156"/>
      <c r="K850" s="156"/>
      <c r="L850" s="156"/>
      <c r="M850" s="156"/>
      <c r="N850" s="156"/>
      <c r="O850" s="156"/>
      <c r="P850" s="156"/>
      <c r="Q850" s="152"/>
      <c r="R850" s="152"/>
      <c r="S850" s="152"/>
      <c r="T850" s="152"/>
      <c r="U850" s="152"/>
      <c r="V850" s="152"/>
      <c r="W850" s="152"/>
      <c r="X850" s="152"/>
      <c r="Y850" s="149"/>
    </row>
    <row r="851" spans="3:25" s="151" customFormat="1" ht="12.75">
      <c r="C851" s="152"/>
      <c r="D851" s="152"/>
      <c r="E851" s="149"/>
      <c r="F851" s="152"/>
      <c r="G851" s="152"/>
      <c r="H851" s="152"/>
      <c r="I851" s="152"/>
      <c r="J851" s="156"/>
      <c r="K851" s="156"/>
      <c r="L851" s="156"/>
      <c r="M851" s="156"/>
      <c r="N851" s="156"/>
      <c r="O851" s="156"/>
      <c r="P851" s="156"/>
      <c r="Q851" s="152"/>
      <c r="R851" s="152"/>
      <c r="S851" s="152"/>
      <c r="T851" s="152"/>
      <c r="U851" s="152"/>
      <c r="V851" s="152"/>
      <c r="W851" s="152"/>
      <c r="X851" s="152"/>
      <c r="Y851" s="149"/>
    </row>
    <row r="852" spans="3:25" s="151" customFormat="1" ht="12.75">
      <c r="C852" s="152"/>
      <c r="D852" s="152"/>
      <c r="E852" s="149"/>
      <c r="F852" s="152"/>
      <c r="G852" s="152"/>
      <c r="H852" s="152"/>
      <c r="I852" s="152"/>
      <c r="J852" s="156"/>
      <c r="K852" s="156"/>
      <c r="L852" s="156"/>
      <c r="M852" s="156"/>
      <c r="N852" s="156"/>
      <c r="O852" s="156"/>
      <c r="P852" s="156"/>
      <c r="Q852" s="152"/>
      <c r="R852" s="152"/>
      <c r="S852" s="152"/>
      <c r="T852" s="152"/>
      <c r="U852" s="152"/>
      <c r="V852" s="152"/>
      <c r="W852" s="152"/>
      <c r="X852" s="152"/>
      <c r="Y852" s="149"/>
    </row>
    <row r="853" spans="3:25" s="151" customFormat="1" ht="12.75">
      <c r="C853" s="152"/>
      <c r="D853" s="152"/>
      <c r="E853" s="149"/>
      <c r="F853" s="152"/>
      <c r="G853" s="152"/>
      <c r="H853" s="152"/>
      <c r="I853" s="152"/>
      <c r="J853" s="156"/>
      <c r="K853" s="156"/>
      <c r="L853" s="156"/>
      <c r="M853" s="156"/>
      <c r="N853" s="156"/>
      <c r="O853" s="156"/>
      <c r="P853" s="156"/>
      <c r="Q853" s="152"/>
      <c r="R853" s="152"/>
      <c r="S853" s="152"/>
      <c r="T853" s="152"/>
      <c r="U853" s="152"/>
      <c r="V853" s="152"/>
      <c r="W853" s="152"/>
      <c r="X853" s="152"/>
      <c r="Y853" s="149"/>
    </row>
    <row r="854" spans="3:25" s="151" customFormat="1" ht="12.75">
      <c r="C854" s="152"/>
      <c r="D854" s="152"/>
      <c r="E854" s="149"/>
      <c r="F854" s="152"/>
      <c r="G854" s="152"/>
      <c r="H854" s="152"/>
      <c r="I854" s="152"/>
      <c r="J854" s="156"/>
      <c r="K854" s="156"/>
      <c r="L854" s="156"/>
      <c r="M854" s="156"/>
      <c r="N854" s="156"/>
      <c r="O854" s="156"/>
      <c r="P854" s="156"/>
      <c r="Q854" s="152"/>
      <c r="R854" s="152"/>
      <c r="S854" s="152"/>
      <c r="T854" s="152"/>
      <c r="U854" s="152"/>
      <c r="V854" s="152"/>
      <c r="W854" s="152"/>
      <c r="X854" s="152"/>
      <c r="Y854" s="149"/>
    </row>
    <row r="855" spans="3:25" s="151" customFormat="1" ht="12.75">
      <c r="C855" s="152"/>
      <c r="D855" s="152"/>
      <c r="E855" s="149"/>
      <c r="F855" s="152"/>
      <c r="G855" s="152"/>
      <c r="H855" s="152"/>
      <c r="I855" s="152"/>
      <c r="J855" s="156"/>
      <c r="K855" s="156"/>
      <c r="L855" s="156"/>
      <c r="M855" s="156"/>
      <c r="N855" s="156"/>
      <c r="O855" s="156"/>
      <c r="P855" s="156"/>
      <c r="Q855" s="152"/>
      <c r="R855" s="152"/>
      <c r="S855" s="152"/>
      <c r="T855" s="152"/>
      <c r="U855" s="152"/>
      <c r="V855" s="152"/>
      <c r="W855" s="152"/>
      <c r="X855" s="152"/>
      <c r="Y855" s="149"/>
    </row>
    <row r="856" spans="3:25" s="151" customFormat="1" ht="12.75">
      <c r="C856" s="152"/>
      <c r="D856" s="152"/>
      <c r="E856" s="149"/>
      <c r="F856" s="152"/>
      <c r="G856" s="152"/>
      <c r="H856" s="152"/>
      <c r="I856" s="152"/>
      <c r="J856" s="156"/>
      <c r="K856" s="156"/>
      <c r="L856" s="156"/>
      <c r="M856" s="156"/>
      <c r="N856" s="156"/>
      <c r="O856" s="156"/>
      <c r="P856" s="156"/>
      <c r="Q856" s="152"/>
      <c r="R856" s="152"/>
      <c r="S856" s="152"/>
      <c r="T856" s="152"/>
      <c r="U856" s="152"/>
      <c r="V856" s="152"/>
      <c r="W856" s="152"/>
      <c r="X856" s="152"/>
      <c r="Y856" s="149"/>
    </row>
    <row r="857" spans="3:25" s="151" customFormat="1" ht="12.75">
      <c r="C857" s="152"/>
      <c r="D857" s="152"/>
      <c r="E857" s="149"/>
      <c r="F857" s="152"/>
      <c r="G857" s="152"/>
      <c r="H857" s="152"/>
      <c r="I857" s="152"/>
      <c r="J857" s="156"/>
      <c r="K857" s="156"/>
      <c r="L857" s="156"/>
      <c r="M857" s="156"/>
      <c r="N857" s="156"/>
      <c r="O857" s="156"/>
      <c r="P857" s="156"/>
      <c r="Q857" s="152"/>
      <c r="R857" s="152"/>
      <c r="S857" s="152"/>
      <c r="T857" s="152"/>
      <c r="U857" s="152"/>
      <c r="V857" s="152"/>
      <c r="W857" s="152"/>
      <c r="X857" s="152"/>
      <c r="Y857" s="149"/>
    </row>
  </sheetData>
  <sheetProtection/>
  <printOptions/>
  <pageMargins left="0.33" right="0.23" top="0.62" bottom="1" header="0.5" footer="0.5"/>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Tan Kor Sin</cp:lastModifiedBy>
  <cp:lastPrinted>2010-04-22T09:08:08Z</cp:lastPrinted>
  <dcterms:created xsi:type="dcterms:W3CDTF">2004-04-06T05:40:30Z</dcterms:created>
  <dcterms:modified xsi:type="dcterms:W3CDTF">2010-04-26T06:25:19Z</dcterms:modified>
  <cp:category/>
  <cp:version/>
  <cp:contentType/>
  <cp:contentStatus/>
</cp:coreProperties>
</file>